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<sst xmlns="http://schemas.openxmlformats.org/spreadsheetml/2006/main" count="962" uniqueCount="471">
  <si>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</si>
  <si>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</si>
  <si>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</si>
  <si>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</si>
  <si>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</si>
  <si>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</si>
  <si>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</si>
  <si>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</si>
  <si>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</si>
  <si>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</si>
  <si>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</si>
  <si>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</si>
  <si>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</si>
  <si>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</si>
  <si>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</si>
  <si>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</si>
  <si>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</si>
  <si>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</si>
  <si>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</si>
  <si>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</si>
  <si>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</si>
  <si>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</si>
  <si>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</si>
  <si>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</si>
  <si>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</si>
  <si>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</si>
  <si>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</si>
  <si>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</si>
  <si>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</si>
  <si>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</si>
  <si>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</si>
  <si>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</si>
  <si>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</si>
  <si>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</si>
  <si>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</si>
  <si>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</si>
  <si>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</si>
  <si>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</si>
  <si>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</si>
  <si>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</si>
  <si>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</si>
  <si>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</si>
  <si>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</si>
  <si>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</si>
  <si>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</si>
  <si>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</si>
  <si>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</si>
  <si>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</si>
  <si>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</si>
  <si>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</si>
  <si>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</si>
  <si>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</si>
  <si>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</si>
  <si>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</si>
  <si>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</si>
  <si>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</si>
  <si>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</si>
  <si>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</si>
  <si>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</si>
  <si>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</si>
  <si>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</si>
  <si>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</si>
  <si>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</si>
  <si>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</si>
  <si>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</si>
  <si>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</si>
  <si>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</si>
  <si>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</si>
  <si>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</si>
  <si>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</si>
  <si>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</si>
  <si>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</si>
  <si>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</si>
  <si>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</si>
  <si>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</si>
  <si>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</si>
  <si>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</si>
  <si>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</si>
  <si>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</si>
  <si>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</si>
  <si>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</si>
  <si>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</si>
  <si>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</si>
  <si>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</si>
  <si>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</si>
  <si>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</si>
  <si>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</si>
  <si>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</si>
  <si>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</si>
  <si>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</si>
  <si>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</si>
  <si>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</si>
  <si>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</si>
  <si>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</si>
  <si>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</si>
  <si>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</si>
  <si>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</si>
  <si>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</si>
  <si>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</si>
  <si>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</si>
  <si>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</si>
  <si>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</si>
  <si>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</si>
  <si>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</si>
  <si>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</si>
  <si>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</si>
  <si>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</si>
  <si>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</si>
  <si>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</si>
  <si>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</si>
  <si>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</si>
  <si>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</si>
  <si>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</si>
  <si>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</si>
  <si>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</si>
  <si>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</si>
  <si>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</si>
  <si>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</si>
  <si>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</si>
  <si>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</si>
  <si>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</si>
  <si>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</si>
  <si>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</si>
  <si>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</si>
  <si>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</si>
  <si>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</si>
  <si>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</si>
  <si>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</si>
  <si>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</si>
  <si>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</si>
  <si>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</si>
  <si>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</si>
  <si>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</si>
  <si>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</si>
  <si>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</si>
  <si>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</si>
  <si>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</si>
  <si>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</si>
  <si>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</si>
  <si>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</si>
  <si>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</si>
  <si>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</si>
  <si>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</si>
  <si>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</si>
  <si>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</si>
  <si>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</si>
  <si>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</si>
  <si>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</si>
  <si>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</si>
  <si>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</si>
  <si>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</si>
  <si>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</si>
  <si>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</si>
  <si>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</si>
  <si>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</si>
  <si>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</si>
  <si>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</si>
  <si>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</si>
  <si>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</si>
  <si>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</si>
  <si>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</si>
  <si>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</si>
  <si>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</si>
  <si>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</si>
  <si>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</si>
  <si>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</si>
  <si>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</si>
  <si>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</si>
  <si>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</si>
  <si>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</si>
  <si>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</si>
  <si>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</si>
  <si>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</si>
  <si>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</si>
  <si>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</si>
  <si>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</si>
  <si>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</si>
  <si>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</si>
  <si>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</si>
  <si>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</si>
  <si>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</si>
  <si>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</si>
  <si>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</si>
  <si>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</si>
  <si>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</si>
  <si>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</si>
  <si>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</si>
  <si>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</si>
  <si>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</si>
  <si>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</si>
  <si>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</si>
  <si>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</si>
  <si>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</si>
  <si>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</si>
  <si>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</si>
  <si>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</si>
  <si>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</si>
  <si>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</si>
  <si>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</si>
  <si>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</si>
  <si>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</si>
  <si>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</si>
  <si>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</si>
  <si>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</si>
  <si>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</si>
  <si>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</si>
  <si>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</si>
  <si>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</si>
  <si>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</si>
  <si>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</si>
  <si>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</si>
  <si>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</si>
  <si>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pandittushar</t>
  </si>
  <si>
    <t>yqgudiya_</t>
  </si>
  <si>
    <t>fallah_rad</t>
  </si>
  <si>
    <t>globeandmail</t>
  </si>
  <si>
    <t>pmcc</t>
  </si>
  <si>
    <t>Mentions</t>
  </si>
  <si>
    <t>We Will Find a Cure In Our Lifetime!
To All Who Have Gone Through This Journey or Have Family/Friends Who Have, My Salutations -- my Dad was Our Inspiration Through His Journey! #WorldCancerDay #thePMCF https://t.co/JmrUratVFi</t>
  </si>
  <si>
    <t>RT @pandittushar: We Will Find a Cure In Our Lifetime!
To All Who Have Gone Through This Journey or Have Family/Friends Who Have, My Salutaâ€¦</t>
  </si>
  <si>
    <t>Dr. Tak Mak's research on immune cell biology in fighting infection.  @pmcc #cancerresearch #thePMCF
Toronto researchers discover how immune cells use neurochemicals to fight infection /via @globeandmail https://t.co/7spuJO6rcs</t>
  </si>
  <si>
    <t>https://www.theglobeandmail.com/canada/article-toronto-researchers-uncover-neurochemicals-role-in-fighting-infection/?utm_medium=Referrer:+Social+Network+/+Media&amp;utm_campaign=Shared+Web+Article+Links</t>
  </si>
  <si>
    <t>theglobeandmail.com</t>
  </si>
  <si>
    <t>worldcancerday thepmcf</t>
  </si>
  <si>
    <t>cancerresearch thepmcf</t>
  </si>
  <si>
    <t>https://pbs.twimg.com/media/DykAg9_WsAEO6-t.jpg</t>
  </si>
  <si>
    <t>http://pbs.twimg.com/profile_images/1091700592676868097/PMqgqEJb_normal.jpg</t>
  </si>
  <si>
    <t>http://pbs.twimg.com/profile_images/961807013922656256/iKOmXK4g_normal.jpg</t>
  </si>
  <si>
    <t>https://twitter.com/#!/pandittushar/status/1092405308314521605</t>
  </si>
  <si>
    <t>https://twitter.com/#!/yqgudiya_/status/1092405581204373504</t>
  </si>
  <si>
    <t>https://twitter.com/#!/fallah_rad/status/1095391757913780224</t>
  </si>
  <si>
    <t>1092405308314521605</t>
  </si>
  <si>
    <t>1092405581204373504</t>
  </si>
  <si>
    <t>1095391757913780224</t>
  </si>
  <si>
    <t/>
  </si>
  <si>
    <t>en</t>
  </si>
  <si>
    <t>Twitter Web Client</t>
  </si>
  <si>
    <t>Twitter for Android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</si>
  <si>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</si>
  <si>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</si>
  <si>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</si>
  <si>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</si>
  <si>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</si>
  <si>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</si>
  <si>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</si>
  <si>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</si>
  <si>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</si>
  <si>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</si>
  <si>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</si>
  <si>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</si>
  <si>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</si>
  <si>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</si>
  <si>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</si>
  <si>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</si>
  <si>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</si>
  <si>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</si>
  <si>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</si>
  <si>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</si>
  <si>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</si>
  <si>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Tushar Pandit</t>
  </si>
  <si>
    <t>guddi_xD83D__xDC93_</t>
  </si>
  <si>
    <t>Nazanin Fallah-Rad</t>
  </si>
  <si>
    <t>The Globe and Mail</t>
  </si>
  <si>
    <t>Peter McCarthy</t>
  </si>
  <si>
    <t>VP, People @bedrockdetroit | People, Leadership &amp; Culture Catalyst | @iveyemba Alum | Entrepreneur/VC Evangelist | Faith/Family/Dogs/Cars/F1/Futebol | My Views</t>
  </si>
  <si>
    <t>i don't know what will be the story of my life but it will never be taken in it.i accepted the defeat _xD83D__xDC4D_ my tweets in like _xD83D__xDC93_ follow @yqguddi</t>
  </si>
  <si>
    <t>Internist, Medical Oncologist - Princess Margaret Cancer Centre</t>
  </si>
  <si>
    <t>Canada's national news organization. Customer service: @GlobeHelp Share info with us anonymously: https://sec.theglobeandmail.com/securedrop/</t>
  </si>
  <si>
    <t>Not a hospital in Canada.</t>
  </si>
  <si>
    <t>Detroit, MI</t>
  </si>
  <si>
    <t xml:space="preserve"> India</t>
  </si>
  <si>
    <t>Toronto, Ontario</t>
  </si>
  <si>
    <t>Canada</t>
  </si>
  <si>
    <t>Cork, Ireland</t>
  </si>
  <si>
    <t>https://t.co/k4vWsJLyij</t>
  </si>
  <si>
    <t>http://www.globeandmail.com</t>
  </si>
  <si>
    <t>https://pbs.twimg.com/profile_banners/258947008/1517748410</t>
  </si>
  <si>
    <t>https://pbs.twimg.com/profile_banners/929350131496910849/1552556895</t>
  </si>
  <si>
    <t>https://pbs.twimg.com/profile_banners/961762146660028423/1518299017</t>
  </si>
  <si>
    <t>https://pbs.twimg.com/profile_banners/8736882/1541533707</t>
  </si>
  <si>
    <t>https://pbs.twimg.com/profile_banners/6271312/1388595764</t>
  </si>
  <si>
    <t>http://abs.twimg.com/images/themes/theme1/bg.png</t>
  </si>
  <si>
    <t>http://abs.twimg.com/images/themes/theme2/bg.gif</t>
  </si>
  <si>
    <t>http://pbs.twimg.com/profile_images/922229151607570432/gnqCbU2W_normal.jpg</t>
  </si>
  <si>
    <t>http://pbs.twimg.com/profile_images/742385672682512384/VfTAuqLg_normal.jpg</t>
  </si>
  <si>
    <t>http://pbs.twimg.com/profile_images/424673833136959489/fwohUkvo_normal.jpeg</t>
  </si>
  <si>
    <t>Open Twitter Page for This Person</t>
  </si>
  <si>
    <t>https://twitter.com/pandittushar</t>
  </si>
  <si>
    <t>https://twitter.com/yqgudiya_</t>
  </si>
  <si>
    <t>https://twitter.com/fallah_rad</t>
  </si>
  <si>
    <t>https://twitter.com/globeandmail</t>
  </si>
  <si>
    <t>https://twitter.com/pmcc</t>
  </si>
  <si>
    <t>pandittushar
We Will Find a Cure In Our Lifetime!
To All Who Have Gone Through This
Journey or Have Family/Friends
Who Have, My Salutations -- my
Dad was Our Inspiration Through
His Journey! #WorldCancerDay #thePMCF
https://t.co/JmrUratVFi</t>
  </si>
  <si>
    <t>yqgudiya_
RT @pandittushar: We Will Find
a Cure In Our Lifetime! To All
Who Have Gone Through This Journey
or Have Family/Friends Who Have,
My Salutaâ€¦</t>
  </si>
  <si>
    <t>fallah_rad
Dr. Tak Mak's research on immune
cell biology in fighting infection.
@pmcc #cancerresearch #thePMCF
Toronto researchers discover how
immune cells use neurochemicals
to fight infection /via @globeandmail
https://t.co/7spuJO6rcs</t>
  </si>
  <si>
    <t xml:space="preserve">globeandmail
</t>
  </si>
  <si>
    <t xml:space="preserve">pmcc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</si>
  <si>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</si>
  <si>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</si>
  <si>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</si>
  <si>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</si>
  <si>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</si>
  <si>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</si>
  <si>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</si>
  <si>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</si>
  <si>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</si>
  <si>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</si>
  <si>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</si>
  <si>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</si>
  <si>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</si>
  <si>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</si>
  <si>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</si>
  <si>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</si>
  <si>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</si>
  <si>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</si>
  <si>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</si>
  <si>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</si>
  <si>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</si>
  <si>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</si>
  <si>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</si>
  <si>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</si>
  <si>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</si>
  <si>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</si>
  <si>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</si>
  <si>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</si>
  <si>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</si>
  <si>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</si>
  <si>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</si>
  <si>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</si>
  <si>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</si>
  <si>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</si>
  <si>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</si>
  <si>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</si>
  <si>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</si>
  <si>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</si>
  <si>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</si>
  <si>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</si>
  <si>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</si>
  <si>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</si>
  <si>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</si>
  <si>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</si>
  <si>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</si>
  <si>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</si>
  <si>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Group 1</t>
  </si>
  <si>
    <t>Group 2</t>
  </si>
  <si>
    <t>Edges</t>
  </si>
  <si>
    <t>Graph Type</t>
  </si>
  <si>
    <t>Number of Edge Types</t>
  </si>
  <si>
    <t>Modularity</t>
  </si>
  <si>
    <t>NodeXL Version</t>
  </si>
  <si>
    <t>1.0.1.411</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</si>
  <si>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</si>
  <si>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</si>
  <si>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</si>
  <si>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</si>
  <si>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</si>
  <si>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</si>
  <si>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</si>
  <si>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</si>
  <si>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</si>
  <si>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</si>
  <si>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</si>
  <si>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</si>
  <si>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thepmcf</t>
  </si>
  <si>
    <t>cancerresearch</t>
  </si>
  <si>
    <t>worldcancerday</t>
  </si>
  <si>
    <t>Top Hashtags in Tweet in G1</t>
  </si>
  <si>
    <t>Top Hashtags in Tweet in G2</t>
  </si>
  <si>
    <t>Top Hashtags in Tweet</t>
  </si>
  <si>
    <t>Top Words in Tweet in Entire Graph</t>
  </si>
  <si>
    <t>Words in Sentiment List#1: Positive</t>
  </si>
  <si>
    <t>Words in Sentiment List#2: Negative</t>
  </si>
  <si>
    <t>Words in Sentiment List#3: Angry/Violent</t>
  </si>
  <si>
    <t>Non-categorized Words</t>
  </si>
  <si>
    <t>Total Words</t>
  </si>
  <si>
    <t>through</t>
  </si>
  <si>
    <t>journey</t>
  </si>
  <si>
    <t>immune</t>
  </si>
  <si>
    <t>infection</t>
  </si>
  <si>
    <t>#thepmcf</t>
  </si>
  <si>
    <t>Top Words in Tweet in G1</t>
  </si>
  <si>
    <t>Top Words in Tweet in G2</t>
  </si>
  <si>
    <t>find</t>
  </si>
  <si>
    <t>cure</t>
  </si>
  <si>
    <t>lifetime</t>
  </si>
  <si>
    <t>gone</t>
  </si>
  <si>
    <t>family</t>
  </si>
  <si>
    <t>friends</t>
  </si>
  <si>
    <t>Top Words in Tweet</t>
  </si>
  <si>
    <t>immune infection</t>
  </si>
  <si>
    <t>through journey find cure lifetime gone family friends</t>
  </si>
  <si>
    <t>Top Word Pairs in Tweet in Entire Graph</t>
  </si>
  <si>
    <t>through,journey</t>
  </si>
  <si>
    <t>find,cure</t>
  </si>
  <si>
    <t>cure,lifetime</t>
  </si>
  <si>
    <t>lifetime,gone</t>
  </si>
  <si>
    <t>gone,through</t>
  </si>
  <si>
    <t>journey,family</t>
  </si>
  <si>
    <t>family,friends</t>
  </si>
  <si>
    <t>Top Word Pairs in Tweet in G1</t>
  </si>
  <si>
    <t>Top Word Pairs in Tweet in G2</t>
  </si>
  <si>
    <t>Top Word Pairs in Tweet</t>
  </si>
  <si>
    <t>through,journey  find,cure  cure,lifetime  lifetime,gone  gone,through  journey,family  family,friends</t>
  </si>
  <si>
    <t>Top Replied-To in Entire Graph</t>
  </si>
  <si>
    <t>Top Mentioned in Entire Graph</t>
  </si>
  <si>
    <t>Top Replied-To in G1</t>
  </si>
  <si>
    <t>Top Replied-To in G2</t>
  </si>
  <si>
    <t>Top Mentioned in G1</t>
  </si>
  <si>
    <t>Top Mentioned in G2</t>
  </si>
  <si>
    <t>Top Replied-To in Tweet</t>
  </si>
  <si>
    <t>Top Mentioned in Tweet</t>
  </si>
  <si>
    <t>pmcc globeandmail</t>
  </si>
  <si>
    <t>Top Tweeters in Entire Graph</t>
  </si>
  <si>
    <t>Top Tweeters in G1</t>
  </si>
  <si>
    <t>Top Tweeters in G2</t>
  </si>
  <si>
    <t>Top Tweeters</t>
  </si>
  <si>
    <t>globeandmail pmcc fallah_rad</t>
  </si>
  <si>
    <t>pandittushar yqgudiya_</t>
  </si>
  <si>
    <t>Top URLs in Tweet by Count</t>
  </si>
  <si>
    <t>Top URLs in Tweet by Salience</t>
  </si>
  <si>
    <t>Top Domains in Tweet by Count</t>
  </si>
  <si>
    <t>Top Domains in Tweet by Salience</t>
  </si>
  <si>
    <t>Top Hashtags in Tweet by Count</t>
  </si>
  <si>
    <t>Top Hashtags in Tweet by Salience</t>
  </si>
  <si>
    <t>Top Words in Tweet by Count</t>
  </si>
  <si>
    <t>through journey find cure lifetime gone family friends salutations dad</t>
  </si>
  <si>
    <t>pandittushar find cure lifetime gone through journey family friends salutaâ</t>
  </si>
  <si>
    <t>immune infection dr tak mak's research cell biology fighting pmcc</t>
  </si>
  <si>
    <t>Top Words in Tweet by Salience</t>
  </si>
  <si>
    <t>Top Word Pairs in Tweet by Count</t>
  </si>
  <si>
    <t>through,journey  find,cure  cure,lifetime  lifetime,gone  gone,through  journey,family  family,friends  friends,salutations  salutations,dad  dad,inspiration</t>
  </si>
  <si>
    <t>pandittushar,find  find,cure  cure,lifetime  lifetime,gone  gone,through  through,journey  journey,family  family,friends  friends,salutaâ</t>
  </si>
  <si>
    <t>dr,tak  tak,mak's  mak's,research  research,immune  immune,cell  cell,biology  biology,fighting  fighting,infection  infection,pmcc  pmcc,#cancerresearch</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</si>
  <si>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</si>
  <si>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</si>
  <si>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</si>
  <si>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</si>
  <si>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</si>
  <si>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</si>
  <si>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</si>
  <si>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</si>
  <si>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</si>
  <si>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</si>
  <si>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</si>
  <si>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</si>
  <si>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</si>
  <si>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</si>
  <si>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</si>
  <si>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</si>
  <si>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</si>
  <si>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</si>
  <si>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</si>
  <si>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</si>
  <si>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</si>
  <si>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</si>
  <si>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</si>
  <si>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</si>
  <si>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</si>
  <si>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</si>
  <si>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</si>
  <si>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</si>
  <si>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</si>
  <si>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</si>
  <si>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</si>
  <si>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</si>
  <si>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128, 128, 128</t>
  </si>
  <si>
    <t>G1: immune infection</t>
  </si>
  <si>
    <t>G2: through journey find cure lifetime gone family friends</t>
  </si>
  <si>
    <t>Autofill Workbook Results</t>
  </si>
  <si>
    <t>Edge Weight▓1▓1▓0▓True▓Gray▓Red▓▓Edge Weight▓1▓1▓0▓3▓10▓False▓Edge Weight▓1▓1▓0▓35▓12▓False▓▓0▓0▓0▓True▓Black▓Black▓▓Followers▓55▓1405▓0▓162▓1000▓False▓▓0▓0▓0▓0▓0▓False▓▓0▓0▓0▓0▓0▓False▓▓0▓0▓0▓0▓0▓False</t>
  </si>
  <si>
    <t>GraphSource░GraphServerTwitterSearch▓GraphTerm░#thePMCF▓ImportDescription░The graph represents a network of 5 Twitter users whose tweets in the requested range contained "#thePMCF", or who were replied to or mentioned in those tweets.  The network was obtained from the NodeXL Graph Server on Thursday, 25 April 2019 at 14:52 UTC.
The requested start date was Thursday, 25 April 2019 at 00:01 UTC and the maximum number of tweets (going backward in time) was 5,000.
The tweets in the network were tweeted over the 8-day, 5-hour, 47-minute period from Monday, 04 February 2019 at 12:51 UTC to Tuesday, 12 February 2019 at 18:38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</si>
</sst>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7"/>
      <tableStyleElement type="headerRow" dxfId="366"/>
    </tableStyle>
    <tableStyle name="NodeXL Table" pivot="0" count="1">
      <tableStyleElement type="headerRow" dxfId="3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9112091"/>
        <c:axId val="16464500"/>
      </c:barChart>
      <c:catAx>
        <c:axId val="391120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464500"/>
        <c:crosses val="autoZero"/>
        <c:auto val="1"/>
        <c:lblOffset val="100"/>
        <c:noMultiLvlLbl val="0"/>
      </c:catAx>
      <c:valAx>
        <c:axId val="16464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120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#thePMCF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2/4/2019 12:51</c:v>
                </c:pt>
                <c:pt idx="1">
                  <c:v>2/4/2019 12:52</c:v>
                </c:pt>
                <c:pt idx="2">
                  <c:v>2/12/2019 18:38</c:v>
                </c:pt>
              </c:strCache>
            </c:strRef>
          </c:cat>
          <c:val>
            <c:numRef>
              <c:f>'Time Series'!$B$26:$B$29</c:f>
              <c:numCache>
                <c:formatCode>General</c:formatCode>
                <c:ptCount val="3"/>
                <c:pt idx="0">
                  <c:v>1</c:v>
                </c:pt>
                <c:pt idx="1">
                  <c:v>1</c:v>
                </c:pt>
                <c:pt idx="2">
                  <c:v>2</c:v>
                </c:pt>
              </c:numCache>
            </c:numRef>
          </c:val>
        </c:ser>
        <c:axId val="25097829"/>
        <c:axId val="24553870"/>
      </c:barChart>
      <c:catAx>
        <c:axId val="25097829"/>
        <c:scaling>
          <c:orientation val="minMax"/>
        </c:scaling>
        <c:axPos val="b"/>
        <c:delete val="0"/>
        <c:numFmt formatCode="General" sourceLinked="1"/>
        <c:majorTickMark val="out"/>
        <c:minorTickMark val="none"/>
        <c:tickLblPos val="nextTo"/>
        <c:crossAx val="24553870"/>
        <c:crosses val="autoZero"/>
        <c:auto val="1"/>
        <c:lblOffset val="100"/>
        <c:noMultiLvlLbl val="0"/>
      </c:catAx>
      <c:valAx>
        <c:axId val="24553870"/>
        <c:scaling>
          <c:orientation val="minMax"/>
        </c:scaling>
        <c:axPos val="l"/>
        <c:majorGridlines/>
        <c:delete val="0"/>
        <c:numFmt formatCode="General" sourceLinked="1"/>
        <c:majorTickMark val="out"/>
        <c:minorTickMark val="none"/>
        <c:tickLblPos val="nextTo"/>
        <c:crossAx val="250978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3962773"/>
        <c:axId val="58556094"/>
      </c:barChart>
      <c:catAx>
        <c:axId val="139627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556094"/>
        <c:crosses val="autoZero"/>
        <c:auto val="1"/>
        <c:lblOffset val="100"/>
        <c:noMultiLvlLbl val="0"/>
      </c:catAx>
      <c:valAx>
        <c:axId val="585560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62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7242799"/>
        <c:axId val="45423144"/>
      </c:barChart>
      <c:catAx>
        <c:axId val="572427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423144"/>
        <c:crosses val="autoZero"/>
        <c:auto val="1"/>
        <c:lblOffset val="100"/>
        <c:noMultiLvlLbl val="0"/>
      </c:catAx>
      <c:valAx>
        <c:axId val="454231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427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155113"/>
        <c:axId val="55396018"/>
      </c:barChart>
      <c:catAx>
        <c:axId val="61551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396018"/>
        <c:crosses val="autoZero"/>
        <c:auto val="1"/>
        <c:lblOffset val="100"/>
        <c:noMultiLvlLbl val="0"/>
      </c:catAx>
      <c:valAx>
        <c:axId val="553960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51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8802115"/>
        <c:axId val="57892444"/>
      </c:barChart>
      <c:catAx>
        <c:axId val="288021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892444"/>
        <c:crosses val="autoZero"/>
        <c:auto val="1"/>
        <c:lblOffset val="100"/>
        <c:noMultiLvlLbl val="0"/>
      </c:catAx>
      <c:valAx>
        <c:axId val="578924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8021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1269949"/>
        <c:axId val="58776358"/>
      </c:barChart>
      <c:catAx>
        <c:axId val="512699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776358"/>
        <c:crosses val="autoZero"/>
        <c:auto val="1"/>
        <c:lblOffset val="100"/>
        <c:noMultiLvlLbl val="0"/>
      </c:catAx>
      <c:valAx>
        <c:axId val="587763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699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9225175"/>
        <c:axId val="63264528"/>
      </c:barChart>
      <c:catAx>
        <c:axId val="5922517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264528"/>
        <c:crosses val="autoZero"/>
        <c:auto val="1"/>
        <c:lblOffset val="100"/>
        <c:noMultiLvlLbl val="0"/>
      </c:catAx>
      <c:valAx>
        <c:axId val="63264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25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2509841"/>
        <c:axId val="24153114"/>
      </c:barChart>
      <c:catAx>
        <c:axId val="3250984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153114"/>
        <c:crosses val="autoZero"/>
        <c:auto val="1"/>
        <c:lblOffset val="100"/>
        <c:noMultiLvlLbl val="0"/>
      </c:catAx>
      <c:valAx>
        <c:axId val="241531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098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6051435"/>
        <c:axId val="10245188"/>
      </c:barChart>
      <c:catAx>
        <c:axId val="16051435"/>
        <c:scaling>
          <c:orientation val="minMax"/>
        </c:scaling>
        <c:axPos val="b"/>
        <c:delete val="1"/>
        <c:majorTickMark val="out"/>
        <c:minorTickMark val="none"/>
        <c:tickLblPos val="none"/>
        <c:crossAx val="10245188"/>
        <c:crosses val="autoZero"/>
        <c:auto val="1"/>
        <c:lblOffset val="100"/>
        <c:noMultiLvlLbl val="0"/>
      </c:catAx>
      <c:valAx>
        <c:axId val="10245188"/>
        <c:scaling>
          <c:orientation val="minMax"/>
        </c:scaling>
        <c:axPos val="l"/>
        <c:delete val="1"/>
        <c:majorTickMark val="out"/>
        <c:minorTickMark val="none"/>
        <c:tickLblPos val="none"/>
        <c:crossAx val="160514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Smith" refreshedVersion="5">
  <cacheSource type="worksheet">
    <worksheetSource ref="A2:BL6"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s v="worldcancerday thepmcf"/>
        <m/>
        <s v="cancerresearch thepmcf"/>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
        <d v="2019-02-04T12:51:36.000"/>
        <d v="2019-02-04T12:52:41.000"/>
        <d v="2019-02-12T18:38:41.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pandittushar"/>
    <s v="pandittushar"/>
    <m/>
    <m/>
    <m/>
    <m/>
    <m/>
    <m/>
    <m/>
    <m/>
    <s v="No"/>
    <n v="3"/>
    <m/>
    <m/>
    <x v="0"/>
    <d v="2019-02-04T12:51:36.000"/>
    <s v="We Will Find a Cure In Our Lifetime!_x000a_To All Who Have Gone Through This Journey or Have Family/Friends Who Have, My Salutations -- my Dad was Our Inspiration Through His Journey! #WorldCancerDay #thePMCF https://t.co/JmrUratVFi"/>
    <m/>
    <m/>
    <x v="0"/>
    <s v="https://pbs.twimg.com/media/DykAg9_WsAEO6-t.jpg"/>
    <s v="https://pbs.twimg.com/media/DykAg9_WsAEO6-t.jpg"/>
    <x v="0"/>
    <s v="https://twitter.com/#!/pandittushar/status/1092405308314521605"/>
    <m/>
    <m/>
    <s v="1092405308314521605"/>
    <m/>
    <b v="0"/>
    <n v="2"/>
    <s v=""/>
    <b v="0"/>
    <s v="en"/>
    <m/>
    <s v=""/>
    <b v="0"/>
    <n v="1"/>
    <s v=""/>
    <s v="Twitter Web Client"/>
    <b v="0"/>
    <s v="1092405308314521605"/>
    <s v="Tweet"/>
    <n v="0"/>
    <n v="0"/>
    <m/>
    <m/>
    <m/>
    <m/>
    <m/>
    <m/>
    <m/>
    <m/>
    <n v="1"/>
    <s v="2"/>
    <s v="2"/>
    <n v="2"/>
    <n v="5.882352941176471"/>
    <n v="0"/>
    <n v="0"/>
    <n v="0"/>
    <n v="0"/>
    <n v="32"/>
    <n v="94.11764705882354"/>
    <n v="34"/>
  </r>
  <r>
    <s v="yqgudiya_"/>
    <s v="pandittushar"/>
    <m/>
    <m/>
    <m/>
    <m/>
    <m/>
    <m/>
    <m/>
    <m/>
    <s v="No"/>
    <n v="4"/>
    <m/>
    <m/>
    <x v="1"/>
    <d v="2019-02-04T12:52:41.000"/>
    <s v="RT @pandittushar: We Will Find a Cure In Our Lifetime!_x000a_To All Who Have Gone Through This Journey or Have Family/Friends Who Have, My Salutaâ€¦"/>
    <m/>
    <m/>
    <x v="1"/>
    <m/>
    <s v="http://pbs.twimg.com/profile_images/1091700592676868097/PMqgqEJb_normal.jpg"/>
    <x v="1"/>
    <s v="https://twitter.com/#!/yqgudiya_/status/1092405581204373504"/>
    <m/>
    <m/>
    <s v="1092405581204373504"/>
    <m/>
    <b v="0"/>
    <n v="0"/>
    <s v=""/>
    <b v="0"/>
    <s v="en"/>
    <m/>
    <s v=""/>
    <b v="0"/>
    <n v="1"/>
    <s v="1092405308314521605"/>
    <s v="Twitter for Android"/>
    <b v="0"/>
    <s v="1092405308314521605"/>
    <s v="Tweet"/>
    <n v="0"/>
    <n v="0"/>
    <m/>
    <m/>
    <m/>
    <m/>
    <m/>
    <m/>
    <m/>
    <m/>
    <n v="1"/>
    <s v="2"/>
    <s v="2"/>
    <n v="1"/>
    <n v="3.8461538461538463"/>
    <n v="0"/>
    <n v="0"/>
    <n v="0"/>
    <n v="0"/>
    <n v="25"/>
    <n v="96.15384615384616"/>
    <n v="26"/>
  </r>
  <r>
    <s v="fallah_rad"/>
    <s v="globeandmail"/>
    <m/>
    <m/>
    <m/>
    <m/>
    <m/>
    <m/>
    <m/>
    <m/>
    <s v="No"/>
    <n v="5"/>
    <m/>
    <m/>
    <x v="1"/>
    <d v="2019-02-12T18:38:41.000"/>
    <s v="Dr. Tak Mak's research on immune cell biology in fighting infection.  @pmcc #cancerresearch #thePMCF_x000a__x000a_Toronto researchers discover how immune cells use neurochemicals to fight infection /via @globeandmail https://t.co/7spuJO6rcs"/>
    <s v="https://www.theglobeandmail.com/canada/article-toronto-researchers-uncover-neurochemicals-role-in-fighting-infection/?utm_medium=Referrer:+Social+Network+/+Media&amp;utm_campaign=Shared+Web+Article+Links"/>
    <s v="theglobeandmail.com"/>
    <x v="2"/>
    <m/>
    <s v="http://pbs.twimg.com/profile_images/961807013922656256/iKOmXK4g_normal.jpg"/>
    <x v="2"/>
    <s v="https://twitter.com/#!/fallah_rad/status/1095391757913780224"/>
    <m/>
    <m/>
    <s v="1095391757913780224"/>
    <m/>
    <b v="0"/>
    <n v="2"/>
    <s v=""/>
    <b v="0"/>
    <s v="en"/>
    <m/>
    <s v=""/>
    <b v="0"/>
    <n v="0"/>
    <s v=""/>
    <s v="Twitter Web Client"/>
    <b v="0"/>
    <s v="1095391757913780224"/>
    <s v="Tweet"/>
    <n v="0"/>
    <n v="0"/>
    <m/>
    <m/>
    <m/>
    <m/>
    <m/>
    <m/>
    <m/>
    <m/>
    <n v="1"/>
    <s v="1"/>
    <s v="1"/>
    <m/>
    <m/>
    <m/>
    <m/>
    <m/>
    <m/>
    <m/>
    <m/>
    <m/>
  </r>
  <r>
    <s v="fallah_rad"/>
    <s v="pmcc"/>
    <m/>
    <m/>
    <m/>
    <m/>
    <m/>
    <m/>
    <m/>
    <m/>
    <s v="No"/>
    <n v="6"/>
    <m/>
    <m/>
    <x v="1"/>
    <d v="2019-02-12T18:38:41.000"/>
    <s v="Dr. Tak Mak's research on immune cell biology in fighting infection.  @pmcc #cancerresearch #thePMCF_x000a__x000a_Toronto researchers discover how immune cells use neurochemicals to fight infection /via @globeandmail https://t.co/7spuJO6rcs"/>
    <s v="https://www.theglobeandmail.com/canada/article-toronto-researchers-uncover-neurochemicals-role-in-fighting-infection/?utm_medium=Referrer:+Social+Network+/+Media&amp;utm_campaign=Shared+Web+Article+Links"/>
    <s v="theglobeandmail.com"/>
    <x v="2"/>
    <m/>
    <s v="http://pbs.twimg.com/profile_images/961807013922656256/iKOmXK4g_normal.jpg"/>
    <x v="2"/>
    <s v="https://twitter.com/#!/fallah_rad/status/1095391757913780224"/>
    <m/>
    <m/>
    <s v="1095391757913780224"/>
    <m/>
    <b v="0"/>
    <n v="2"/>
    <s v=""/>
    <b v="0"/>
    <s v="en"/>
    <m/>
    <s v=""/>
    <b v="0"/>
    <n v="0"/>
    <s v=""/>
    <s v="Twitter Web Client"/>
    <b v="0"/>
    <s v="1095391757913780224"/>
    <s v="Tweet"/>
    <n v="0"/>
    <n v="0"/>
    <m/>
    <m/>
    <m/>
    <m/>
    <m/>
    <m/>
    <m/>
    <m/>
    <n v="1"/>
    <s v="1"/>
    <s v="1"/>
    <n v="0"/>
    <n v="0"/>
    <n v="2"/>
    <n v="7.407407407407407"/>
    <n v="0"/>
    <n v="0"/>
    <n v="25"/>
    <n v="92.5925925925926"/>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3">
        <i x="2"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6" totalsRowShown="0" headerRowDxfId="364" dataDxfId="363">
  <autoFilter ref="A2:BL6"/>
  <tableColumns count="64">
    <tableColumn id="1" name="Vertex 1" dataDxfId="362"/>
    <tableColumn id="2" name="Vertex 2" dataDxfId="361"/>
    <tableColumn id="3" name="Color" dataDxfId="360"/>
    <tableColumn id="4" name="Width" dataDxfId="359"/>
    <tableColumn id="11" name="Style" dataDxfId="358"/>
    <tableColumn id="5" name="Opacity" dataDxfId="357"/>
    <tableColumn id="6" name="Visibility" dataDxfId="356"/>
    <tableColumn id="10" name="Label" dataDxfId="355"/>
    <tableColumn id="12" name="Label Text Color" dataDxfId="354"/>
    <tableColumn id="13" name="Label Font Size" dataDxfId="353"/>
    <tableColumn id="14" name="Reciprocated?" dataDxfId="94"/>
    <tableColumn id="7" name="ID" dataDxfId="352"/>
    <tableColumn id="9" name="Dynamic Filter" dataDxfId="351"/>
    <tableColumn id="8" name="Add Your Own Columns Here" dataDxfId="350"/>
    <tableColumn id="15" name="Relationship" dataDxfId="349"/>
    <tableColumn id="16" name="Relationship Date (UTC)" dataDxfId="348"/>
    <tableColumn id="17" name="Tweet" dataDxfId="347"/>
    <tableColumn id="18" name="URLs in Tweet" dataDxfId="346"/>
    <tableColumn id="19" name="Domains in Tweet" dataDxfId="345"/>
    <tableColumn id="20" name="Hashtags in Tweet" dataDxfId="344"/>
    <tableColumn id="21" name="Media in Tweet" dataDxfId="343"/>
    <tableColumn id="22" name="Tweet Image File" dataDxfId="342"/>
    <tableColumn id="23" name="Tweet Date (UTC)" dataDxfId="341"/>
    <tableColumn id="24" name="Twitter Page for Tweet" dataDxfId="340"/>
    <tableColumn id="25" name="Latitude" dataDxfId="339"/>
    <tableColumn id="26" name="Longitude" dataDxfId="338"/>
    <tableColumn id="27" name="Imported ID" dataDxfId="337"/>
    <tableColumn id="28" name="In-Reply-To Tweet ID" dataDxfId="336"/>
    <tableColumn id="29" name="Favorited" dataDxfId="335"/>
    <tableColumn id="30" name="Favorite Count" dataDxfId="334"/>
    <tableColumn id="31" name="In-Reply-To User ID" dataDxfId="333"/>
    <tableColumn id="32" name="Is Quote Status" dataDxfId="332"/>
    <tableColumn id="33" name="Language" dataDxfId="331"/>
    <tableColumn id="34" name="Possibly Sensitive" dataDxfId="330"/>
    <tableColumn id="35" name="Quoted Status ID" dataDxfId="329"/>
    <tableColumn id="36" name="Retweeted" dataDxfId="328"/>
    <tableColumn id="37" name="Retweet Count" dataDxfId="327"/>
    <tableColumn id="38" name="Retweet ID" dataDxfId="326"/>
    <tableColumn id="39" name="Source" dataDxfId="325"/>
    <tableColumn id="40" name="Truncated" dataDxfId="324"/>
    <tableColumn id="41" name="Unified Twitter ID" dataDxfId="323"/>
    <tableColumn id="42" name="Imported Tweet Type" dataDxfId="322"/>
    <tableColumn id="43" name="Added By Extended Analysis" dataDxfId="321"/>
    <tableColumn id="44" name="Corrected By Extended Analysis" dataDxfId="320"/>
    <tableColumn id="45" name="Place Bounding Box" dataDxfId="319"/>
    <tableColumn id="46" name="Place Country" dataDxfId="318"/>
    <tableColumn id="47" name="Place Country Code" dataDxfId="317"/>
    <tableColumn id="48" name="Place Full Name" dataDxfId="316"/>
    <tableColumn id="49" name="Place ID" dataDxfId="315"/>
    <tableColumn id="50" name="Place Name" dataDxfId="314"/>
    <tableColumn id="51" name="Place Type" dataDxfId="313"/>
    <tableColumn id="52" name="Place URL" dataDxfId="312"/>
    <tableColumn id="53" name="Edge Weight"/>
    <tableColumn id="54" name="Vertex 1 Group" dataDxfId="235">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4" totalsRowShown="0" headerRowDxfId="234" dataDxfId="233">
  <autoFilter ref="A2:C4"/>
  <tableColumns count="3">
    <tableColumn id="1" name="Group 1" dataDxfId="232"/>
    <tableColumn id="2" name="Group 2" dataDxfId="231"/>
    <tableColumn id="3" name="Edges" dataDxfId="230"/>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F2" totalsRowShown="0" headerRowDxfId="227" dataDxfId="226">
  <autoFilter ref="A1:F2"/>
  <tableColumns count="6">
    <tableColumn id="1" name="Top URLs in Tweet in Entire Graph" dataDxfId="225"/>
    <tableColumn id="2" name="Entire Graph Count" dataDxfId="224"/>
    <tableColumn id="3" name="Top URLs in Tweet in G1" dataDxfId="223"/>
    <tableColumn id="4" name="G1 Count" dataDxfId="222"/>
    <tableColumn id="5" name="Top URLs in Tweet in G2" dataDxfId="221"/>
    <tableColumn id="6" name="G2 Count" dataDxfId="220"/>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5:F6" totalsRowShown="0" headerRowDxfId="219" dataDxfId="218">
  <autoFilter ref="A5:F6"/>
  <tableColumns count="6">
    <tableColumn id="1" name="Top Domains in Tweet in Entire Graph" dataDxfId="217"/>
    <tableColumn id="2" name="Entire Graph Count" dataDxfId="216"/>
    <tableColumn id="3" name="Top Domains in Tweet in G1" dataDxfId="215"/>
    <tableColumn id="4" name="G1 Count" dataDxfId="214"/>
    <tableColumn id="5" name="Top Domains in Tweet in G2" dataDxfId="213"/>
    <tableColumn id="6" name="G2 Count" dataDxfId="212"/>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9:F12" totalsRowShown="0" headerRowDxfId="211" dataDxfId="210">
  <autoFilter ref="A9:F12"/>
  <tableColumns count="6">
    <tableColumn id="1" name="Top Hashtags in Tweet in Entire Graph" dataDxfId="209"/>
    <tableColumn id="2" name="Entire Graph Count" dataDxfId="208"/>
    <tableColumn id="3" name="Top Hashtags in Tweet in G1" dataDxfId="207"/>
    <tableColumn id="4" name="G1 Count" dataDxfId="206"/>
    <tableColumn id="5" name="Top Hashtags in Tweet in G2" dataDxfId="205"/>
    <tableColumn id="6" name="G2 Count" dataDxfId="20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5:F25" totalsRowShown="0" headerRowDxfId="202" dataDxfId="201">
  <autoFilter ref="A15:F25"/>
  <tableColumns count="6">
    <tableColumn id="1" name="Top Words in Tweet in Entire Graph" dataDxfId="200"/>
    <tableColumn id="2" name="Entire Graph Count" dataDxfId="199"/>
    <tableColumn id="3" name="Top Words in Tweet in G1" dataDxfId="198"/>
    <tableColumn id="4" name="G1 Count" dataDxfId="197"/>
    <tableColumn id="5" name="Top Words in Tweet in G2" dataDxfId="196"/>
    <tableColumn id="6" name="G2 Count" dataDxfId="195"/>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28:F35" totalsRowShown="0" headerRowDxfId="193" dataDxfId="192">
  <autoFilter ref="A28:F35"/>
  <tableColumns count="6">
    <tableColumn id="1" name="Top Word Pairs in Tweet in Entire Graph" dataDxfId="191"/>
    <tableColumn id="2" name="Entire Graph Count" dataDxfId="190"/>
    <tableColumn id="3" name="Top Word Pairs in Tweet in G1" dataDxfId="189"/>
    <tableColumn id="4" name="G1 Count" dataDxfId="188"/>
    <tableColumn id="5" name="Top Word Pairs in Tweet in G2" dataDxfId="187"/>
    <tableColumn id="6" name="G2 Count" dataDxfId="186"/>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38:F39" totalsRowShown="0" headerRowDxfId="184" dataDxfId="183">
  <autoFilter ref="A38:F39"/>
  <tableColumns count="6">
    <tableColumn id="1" name="Top Replied-To in Entire Graph" dataDxfId="182"/>
    <tableColumn id="2" name="Entire Graph Count" dataDxfId="178"/>
    <tableColumn id="3" name="Top Replied-To in G1" dataDxfId="177"/>
    <tableColumn id="4" name="G1 Count" dataDxfId="174"/>
    <tableColumn id="5" name="Top Replied-To in G2" dataDxfId="173"/>
    <tableColumn id="6" name="G2 Count" dataDxfId="172"/>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41:F44" totalsRowShown="0" headerRowDxfId="181" dataDxfId="180">
  <autoFilter ref="A41:F44"/>
  <tableColumns count="6">
    <tableColumn id="1" name="Top Mentioned in Entire Graph" dataDxfId="179"/>
    <tableColumn id="2" name="Entire Graph Count" dataDxfId="176"/>
    <tableColumn id="3" name="Top Mentioned in G1" dataDxfId="175"/>
    <tableColumn id="4" name="G1 Count" dataDxfId="171"/>
    <tableColumn id="5" name="Top Mentioned in G2" dataDxfId="170"/>
    <tableColumn id="6" name="G2 Count" dataDxfId="169"/>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47:F52" totalsRowShown="0" headerRowDxfId="166" dataDxfId="165">
  <autoFilter ref="A47:F52"/>
  <tableColumns count="6">
    <tableColumn id="1" name="Top Tweeters in Entire Graph" dataDxfId="164"/>
    <tableColumn id="2" name="Entire Graph Count" dataDxfId="163"/>
    <tableColumn id="3" name="Top Tweeters in G1" dataDxfId="162"/>
    <tableColumn id="4" name="G1 Count" dataDxfId="161"/>
    <tableColumn id="5" name="Top Tweeters in G2" dataDxfId="160"/>
    <tableColumn id="6" name="G2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7" totalsRowShown="0" headerRowDxfId="311" dataDxfId="310">
  <autoFilter ref="A2:BS7"/>
  <tableColumns count="71">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92"/>
    <tableColumn id="28" name="Dynamic Filter" dataDxfId="291"/>
    <tableColumn id="17" name="Add Your Own Columns Here" dataDxfId="290"/>
    <tableColumn id="30" name="Name" dataDxfId="289"/>
    <tableColumn id="31" name="Followed" dataDxfId="288"/>
    <tableColumn id="32" name="Followers" dataDxfId="287"/>
    <tableColumn id="33" name="Tweets" dataDxfId="286"/>
    <tableColumn id="34" name="Favorites" dataDxfId="285"/>
    <tableColumn id="35" name="Time Zone UTC Offset (Seconds)" dataDxfId="284"/>
    <tableColumn id="36" name="Description" dataDxfId="283"/>
    <tableColumn id="37" name="Location" dataDxfId="282"/>
    <tableColumn id="38" name="Web" dataDxfId="281"/>
    <tableColumn id="39" name="Time Zone" dataDxfId="280"/>
    <tableColumn id="40" name="Joined Twitter Date (UTC)" dataDxfId="279"/>
    <tableColumn id="41" name="Profile Banner Url" dataDxfId="278"/>
    <tableColumn id="42" name="Default Profile" dataDxfId="277"/>
    <tableColumn id="43" name="Default Profile Image" dataDxfId="276"/>
    <tableColumn id="44" name="Geo Enabled" dataDxfId="275"/>
    <tableColumn id="45" name="Language" dataDxfId="274"/>
    <tableColumn id="46" name="Listed Count" dataDxfId="273"/>
    <tableColumn id="47" name="Profile Background Image Url" dataDxfId="272"/>
    <tableColumn id="48" name="Verified" dataDxfId="271"/>
    <tableColumn id="49" name="Custom Menu Item Text" dataDxfId="270"/>
    <tableColumn id="50" name="Custom Menu Item Action" dataDxfId="269"/>
    <tableColumn id="51" name="Tweeted Search Term?" dataDxfId="236"/>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27" totalsRowShown="0" headerRowDxfId="147" dataDxfId="146">
  <autoFilter ref="A1:G27"/>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5" totalsRowShown="0" headerRowDxfId="138" dataDxfId="137">
  <autoFilter ref="A1:L15"/>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6" totalsRowShown="0" headerRowDxfId="64" dataDxfId="63">
  <autoFilter ref="A2:BL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6" totalsRowShown="0" headerRowDxfId="68" dataDxfId="67">
  <autoFilter ref="A1:B6"/>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68">
  <autoFilter ref="A2:AO4"/>
  <tableColumns count="41">
    <tableColumn id="1" name="Group" dataDxfId="243"/>
    <tableColumn id="2" name="Vertex Color" dataDxfId="242"/>
    <tableColumn id="3" name="Vertex Shape" dataDxfId="240"/>
    <tableColumn id="22" name="Visibility" dataDxfId="241"/>
    <tableColumn id="4" name="Collapsed?"/>
    <tableColumn id="18" name="Label" dataDxfId="267"/>
    <tableColumn id="20" name="Collapsed X"/>
    <tableColumn id="21" name="Collapsed Y"/>
    <tableColumn id="6" name="ID" dataDxfId="266"/>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03"/>
    <tableColumn id="27" name="Top Hashtags in Tweet" dataDxfId="194"/>
    <tableColumn id="28" name="Top Words in Tweet" dataDxfId="185"/>
    <tableColumn id="29" name="Top Word Pairs in Tweet" dataDxfId="168"/>
    <tableColumn id="30" name="Top Replied-To in Tweet" dataDxfId="167"/>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 totalsRowShown="0" headerRowDxfId="265" dataDxfId="264">
  <autoFilter ref="A1:C6"/>
  <tableColumns count="3">
    <tableColumn id="1" name="Group" dataDxfId="239"/>
    <tableColumn id="2" name="Vertex" dataDxfId="238"/>
    <tableColumn id="3" name="Vertex ID" dataDxfId="23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229"/>
    <tableColumn id="2" name="Value" dataDxfId="22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3"/>
    <tableColumn id="2" name="Degree Frequency" dataDxfId="262">
      <calculatedColumnFormula>COUNTIF(Vertices[Degree], "&gt;= " &amp; D2) - COUNTIF(Vertices[Degree], "&gt;=" &amp; D3)</calculatedColumnFormula>
    </tableColumn>
    <tableColumn id="3" name="In-Degree Bin" dataDxfId="261"/>
    <tableColumn id="4" name="In-Degree Frequency" dataDxfId="260">
      <calculatedColumnFormula>COUNTIF(Vertices[In-Degree], "&gt;= " &amp; F2) - COUNTIF(Vertices[In-Degree], "&gt;=" &amp; F3)</calculatedColumnFormula>
    </tableColumn>
    <tableColumn id="5" name="Out-Degree Bin" dataDxfId="259"/>
    <tableColumn id="6" name="Out-Degree Frequency" dataDxfId="258">
      <calculatedColumnFormula>COUNTIF(Vertices[Out-Degree], "&gt;= " &amp; H2) - COUNTIF(Vertices[Out-Degree], "&gt;=" &amp; H3)</calculatedColumnFormula>
    </tableColumn>
    <tableColumn id="7" name="Betweenness Centrality Bin" dataDxfId="257"/>
    <tableColumn id="8" name="Betweenness Centrality Frequency" dataDxfId="256">
      <calculatedColumnFormula>COUNTIF(Vertices[Betweenness Centrality], "&gt;= " &amp; J2) - COUNTIF(Vertices[Betweenness Centrality], "&gt;=" &amp; J3)</calculatedColumnFormula>
    </tableColumn>
    <tableColumn id="9" name="Closeness Centrality Bin" dataDxfId="255"/>
    <tableColumn id="10" name="Closeness Centrality Frequency" dataDxfId="254">
      <calculatedColumnFormula>COUNTIF(Vertices[Closeness Centrality], "&gt;= " &amp; L2) - COUNTIF(Vertices[Closeness Centrality], "&gt;=" &amp; L3)</calculatedColumnFormula>
    </tableColumn>
    <tableColumn id="11" name="Eigenvector Centrality Bin" dataDxfId="253"/>
    <tableColumn id="12" name="Eigenvector Centrality Frequency" dataDxfId="252">
      <calculatedColumnFormula>COUNTIF(Vertices[Eigenvector Centrality], "&gt;= " &amp; N2) - COUNTIF(Vertices[Eigenvector Centrality], "&gt;=" &amp; N3)</calculatedColumnFormula>
    </tableColumn>
    <tableColumn id="18" name="PageRank Bin" dataDxfId="251"/>
    <tableColumn id="17" name="PageRank Frequency" dataDxfId="250">
      <calculatedColumnFormula>COUNTIF(Vertices[Eigenvector Centrality], "&gt;= " &amp; P2) - COUNTIF(Vertices[Eigenvector Centrality], "&gt;=" &amp; P3)</calculatedColumnFormula>
    </tableColumn>
    <tableColumn id="13" name="Clustering Coefficient Bin" dataDxfId="249"/>
    <tableColumn id="14" name="Clustering Coefficient Frequency" dataDxfId="248">
      <calculatedColumnFormula>COUNTIF(Vertices[Clustering Coefficient], "&gt;= " &amp; R2) - COUNTIF(Vertices[Clustering Coefficient], "&gt;=" &amp; R3)</calculatedColumnFormula>
    </tableColumn>
    <tableColumn id="15" name="Dynamic Filter Bin" dataDxfId="247"/>
    <tableColumn id="16" name="Dynamic Filter Frequency" dataDxfId="2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heglobeandmail.com/canada/article-toronto-researchers-uncover-neurochemicals-role-in-fighting-infection/?utm_medium=Referrer:+Social+Network+/+Media&amp;utm_campaign=Shared+Web+Article+Links" TargetMode="External" /><Relationship Id="rId2" Type="http://schemas.openxmlformats.org/officeDocument/2006/relationships/hyperlink" Target="https://www.theglobeandmail.com/canada/article-toronto-researchers-uncover-neurochemicals-role-in-fighting-infection/?utm_medium=Referrer:+Social+Network+/+Media&amp;utm_campaign=Shared+Web+Article+Links" TargetMode="External" /><Relationship Id="rId3" Type="http://schemas.openxmlformats.org/officeDocument/2006/relationships/hyperlink" Target="https://pbs.twimg.com/media/DykAg9_WsAEO6-t.jpg" TargetMode="External" /><Relationship Id="rId4" Type="http://schemas.openxmlformats.org/officeDocument/2006/relationships/hyperlink" Target="https://pbs.twimg.com/media/DykAg9_WsAEO6-t.jpg" TargetMode="External" /><Relationship Id="rId5" Type="http://schemas.openxmlformats.org/officeDocument/2006/relationships/hyperlink" Target="http://pbs.twimg.com/profile_images/1091700592676868097/PMqgqEJb_normal.jpg" TargetMode="External" /><Relationship Id="rId6" Type="http://schemas.openxmlformats.org/officeDocument/2006/relationships/hyperlink" Target="http://pbs.twimg.com/profile_images/961807013922656256/iKOmXK4g_normal.jpg" TargetMode="External" /><Relationship Id="rId7" Type="http://schemas.openxmlformats.org/officeDocument/2006/relationships/hyperlink" Target="http://pbs.twimg.com/profile_images/961807013922656256/iKOmXK4g_normal.jpg" TargetMode="External" /><Relationship Id="rId8" Type="http://schemas.openxmlformats.org/officeDocument/2006/relationships/hyperlink" Target="https://twitter.com/#!/pandittushar/status/1092405308314521605" TargetMode="External" /><Relationship Id="rId9" Type="http://schemas.openxmlformats.org/officeDocument/2006/relationships/hyperlink" Target="https://twitter.com/#!/yqgudiya_/status/1092405581204373504" TargetMode="External" /><Relationship Id="rId10" Type="http://schemas.openxmlformats.org/officeDocument/2006/relationships/hyperlink" Target="https://twitter.com/#!/fallah_rad/status/1095391757913780224" TargetMode="External" /><Relationship Id="rId11" Type="http://schemas.openxmlformats.org/officeDocument/2006/relationships/hyperlink" Target="https://twitter.com/#!/fallah_rad/status/1095391757913780224" TargetMode="External" /><Relationship Id="rId12" Type="http://schemas.openxmlformats.org/officeDocument/2006/relationships/comments" Target="../comments1.xml" /><Relationship Id="rId13" Type="http://schemas.openxmlformats.org/officeDocument/2006/relationships/vmlDrawing" Target="../drawings/vmlDrawing1.vml" /><Relationship Id="rId14" Type="http://schemas.openxmlformats.org/officeDocument/2006/relationships/table" Target="../tables/table1.xml" /><Relationship Id="rId1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theglobeandmail.com/canada/article-toronto-researchers-uncover-neurochemicals-role-in-fighting-infection/?utm_medium=Referrer:+Social+Network+/+Media&amp;utm_campaign=Shared+Web+Article+Links" TargetMode="External" /><Relationship Id="rId2" Type="http://schemas.openxmlformats.org/officeDocument/2006/relationships/hyperlink" Target="https://www.theglobeandmail.com/canada/article-toronto-researchers-uncover-neurochemicals-role-in-fighting-infection/?utm_medium=Referrer:+Social+Network+/+Media&amp;utm_campaign=Shared+Web+Article+Links" TargetMode="External" /><Relationship Id="rId3" Type="http://schemas.openxmlformats.org/officeDocument/2006/relationships/hyperlink" Target="https://pbs.twimg.com/media/DykAg9_WsAEO6-t.jpg" TargetMode="External" /><Relationship Id="rId4" Type="http://schemas.openxmlformats.org/officeDocument/2006/relationships/hyperlink" Target="https://pbs.twimg.com/media/DykAg9_WsAEO6-t.jpg" TargetMode="External" /><Relationship Id="rId5" Type="http://schemas.openxmlformats.org/officeDocument/2006/relationships/hyperlink" Target="http://pbs.twimg.com/profile_images/1091700592676868097/PMqgqEJb_normal.jpg" TargetMode="External" /><Relationship Id="rId6" Type="http://schemas.openxmlformats.org/officeDocument/2006/relationships/hyperlink" Target="http://pbs.twimg.com/profile_images/961807013922656256/iKOmXK4g_normal.jpg" TargetMode="External" /><Relationship Id="rId7" Type="http://schemas.openxmlformats.org/officeDocument/2006/relationships/hyperlink" Target="http://pbs.twimg.com/profile_images/961807013922656256/iKOmXK4g_normal.jpg" TargetMode="External" /><Relationship Id="rId8" Type="http://schemas.openxmlformats.org/officeDocument/2006/relationships/hyperlink" Target="https://twitter.com/#!/pandittushar/status/1092405308314521605" TargetMode="External" /><Relationship Id="rId9" Type="http://schemas.openxmlformats.org/officeDocument/2006/relationships/hyperlink" Target="https://twitter.com/#!/yqgudiya_/status/1092405581204373504" TargetMode="External" /><Relationship Id="rId10" Type="http://schemas.openxmlformats.org/officeDocument/2006/relationships/hyperlink" Target="https://twitter.com/#!/fallah_rad/status/1095391757913780224" TargetMode="External" /><Relationship Id="rId11" Type="http://schemas.openxmlformats.org/officeDocument/2006/relationships/hyperlink" Target="https://twitter.com/#!/fallah_rad/status/1095391757913780224" TargetMode="External" /><Relationship Id="rId12" Type="http://schemas.openxmlformats.org/officeDocument/2006/relationships/comments" Target="../comments12.xml" /><Relationship Id="rId13" Type="http://schemas.openxmlformats.org/officeDocument/2006/relationships/vmlDrawing" Target="../drawings/vmlDrawing6.vml" /><Relationship Id="rId14" Type="http://schemas.openxmlformats.org/officeDocument/2006/relationships/table" Target="../tables/table22.xml" /><Relationship Id="rId15"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k4vWsJLyij" TargetMode="External" /><Relationship Id="rId2" Type="http://schemas.openxmlformats.org/officeDocument/2006/relationships/hyperlink" Target="http://www.globeandmail.com/" TargetMode="External" /><Relationship Id="rId3" Type="http://schemas.openxmlformats.org/officeDocument/2006/relationships/hyperlink" Target="https://pbs.twimg.com/profile_banners/258947008/1517748410" TargetMode="External" /><Relationship Id="rId4" Type="http://schemas.openxmlformats.org/officeDocument/2006/relationships/hyperlink" Target="https://pbs.twimg.com/profile_banners/929350131496910849/1552556895" TargetMode="External" /><Relationship Id="rId5" Type="http://schemas.openxmlformats.org/officeDocument/2006/relationships/hyperlink" Target="https://pbs.twimg.com/profile_banners/961762146660028423/1518299017" TargetMode="External" /><Relationship Id="rId6" Type="http://schemas.openxmlformats.org/officeDocument/2006/relationships/hyperlink" Target="https://pbs.twimg.com/profile_banners/8736882/1541533707" TargetMode="External" /><Relationship Id="rId7" Type="http://schemas.openxmlformats.org/officeDocument/2006/relationships/hyperlink" Target="https://pbs.twimg.com/profile_banners/6271312/1388595764" TargetMode="External" /><Relationship Id="rId8" Type="http://schemas.openxmlformats.org/officeDocument/2006/relationships/hyperlink" Target="http://abs.twimg.com/images/themes/theme1/bg.png" TargetMode="External" /><Relationship Id="rId9" Type="http://schemas.openxmlformats.org/officeDocument/2006/relationships/hyperlink" Target="http://abs.twimg.com/images/themes/theme1/bg.png" TargetMode="External" /><Relationship Id="rId10" Type="http://schemas.openxmlformats.org/officeDocument/2006/relationships/hyperlink" Target="http://abs.twimg.com/images/themes/theme1/bg.png" TargetMode="External" /><Relationship Id="rId11" Type="http://schemas.openxmlformats.org/officeDocument/2006/relationships/hyperlink" Target="http://abs.twimg.com/images/themes/theme2/bg.gif" TargetMode="External" /><Relationship Id="rId12" Type="http://schemas.openxmlformats.org/officeDocument/2006/relationships/hyperlink" Target="http://pbs.twimg.com/profile_images/922229151607570432/gnqCbU2W_normal.jpg" TargetMode="External" /><Relationship Id="rId13" Type="http://schemas.openxmlformats.org/officeDocument/2006/relationships/hyperlink" Target="http://pbs.twimg.com/profile_images/1091700592676868097/PMqgqEJb_normal.jpg" TargetMode="External" /><Relationship Id="rId14" Type="http://schemas.openxmlformats.org/officeDocument/2006/relationships/hyperlink" Target="http://pbs.twimg.com/profile_images/961807013922656256/iKOmXK4g_normal.jpg" TargetMode="External" /><Relationship Id="rId15" Type="http://schemas.openxmlformats.org/officeDocument/2006/relationships/hyperlink" Target="http://pbs.twimg.com/profile_images/742385672682512384/VfTAuqLg_normal.jpg" TargetMode="External" /><Relationship Id="rId16" Type="http://schemas.openxmlformats.org/officeDocument/2006/relationships/hyperlink" Target="http://pbs.twimg.com/profile_images/424673833136959489/fwohUkvo_normal.jpeg" TargetMode="External" /><Relationship Id="rId17" Type="http://schemas.openxmlformats.org/officeDocument/2006/relationships/hyperlink" Target="https://twitter.com/pandittushar" TargetMode="External" /><Relationship Id="rId18" Type="http://schemas.openxmlformats.org/officeDocument/2006/relationships/hyperlink" Target="https://twitter.com/yqgudiya_" TargetMode="External" /><Relationship Id="rId19" Type="http://schemas.openxmlformats.org/officeDocument/2006/relationships/hyperlink" Target="https://twitter.com/fallah_rad" TargetMode="External" /><Relationship Id="rId20" Type="http://schemas.openxmlformats.org/officeDocument/2006/relationships/hyperlink" Target="https://twitter.com/globeandmail" TargetMode="External" /><Relationship Id="rId21" Type="http://schemas.openxmlformats.org/officeDocument/2006/relationships/hyperlink" Target="https://twitter.com/pmcc" TargetMode="External" /><Relationship Id="rId22" Type="http://schemas.openxmlformats.org/officeDocument/2006/relationships/comments" Target="../comments2.xml" /><Relationship Id="rId23" Type="http://schemas.openxmlformats.org/officeDocument/2006/relationships/vmlDrawing" Target="../drawings/vmlDrawing2.vml" /><Relationship Id="rId24" Type="http://schemas.openxmlformats.org/officeDocument/2006/relationships/table" Target="../tables/table2.xml" /><Relationship Id="rId2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theglobeandmail.com/canada/article-toronto-researchers-uncover-neurochemicals-role-in-fighting-infection/?utm_medium=Referrer:+Social+Network+/+Media&amp;utm_campaign=Shared+Web+Article+Links" TargetMode="External" /><Relationship Id="rId2" Type="http://schemas.openxmlformats.org/officeDocument/2006/relationships/hyperlink" Target="https://www.theglobeandmail.com/canada/article-toronto-researchers-uncover-neurochemicals-role-in-fighting-infection/?utm_medium=Referrer:+Social+Network+/+Media&amp;utm_campaign=Shared+Web+Article+Links" TargetMode="External" /><Relationship Id="rId3" Type="http://schemas.openxmlformats.org/officeDocument/2006/relationships/table" Target="../tables/table12.xml" /><Relationship Id="rId4" Type="http://schemas.openxmlformats.org/officeDocument/2006/relationships/table" Target="../tables/table13.xml" /><Relationship Id="rId5" Type="http://schemas.openxmlformats.org/officeDocument/2006/relationships/table" Target="../tables/table14.xml" /><Relationship Id="rId6" Type="http://schemas.openxmlformats.org/officeDocument/2006/relationships/table" Target="../tables/table15.xml" /><Relationship Id="rId7" Type="http://schemas.openxmlformats.org/officeDocument/2006/relationships/table" Target="../tables/table16.xml" /><Relationship Id="rId8" Type="http://schemas.openxmlformats.org/officeDocument/2006/relationships/table" Target="../tables/table17.xml" /><Relationship Id="rId9" Type="http://schemas.openxmlformats.org/officeDocument/2006/relationships/table" Target="../tables/table18.xml" /><Relationship Id="rId1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335</v>
      </c>
      <c r="BB2" s="13" t="s">
        <v>341</v>
      </c>
      <c r="BC2" s="13" t="s">
        <v>342</v>
      </c>
      <c r="BD2" s="67" t="s">
        <v>450</v>
      </c>
      <c r="BE2" s="67" t="s">
        <v>451</v>
      </c>
      <c r="BF2" s="67" t="s">
        <v>452</v>
      </c>
      <c r="BG2" s="67" t="s">
        <v>453</v>
      </c>
      <c r="BH2" s="67" t="s">
        <v>454</v>
      </c>
      <c r="BI2" s="67" t="s">
        <v>455</v>
      </c>
      <c r="BJ2" s="67" t="s">
        <v>456</v>
      </c>
      <c r="BK2" s="67" t="s">
        <v>457</v>
      </c>
      <c r="BL2" s="67" t="s">
        <v>458</v>
      </c>
    </row>
    <row r="3" spans="1:64" ht="15" customHeight="1">
      <c r="A3" s="84" t="s">
        <v>212</v>
      </c>
      <c r="B3" s="84" t="s">
        <v>212</v>
      </c>
      <c r="C3" s="53" t="s">
        <v>465</v>
      </c>
      <c r="D3" s="54">
        <v>3</v>
      </c>
      <c r="E3" s="65" t="s">
        <v>132</v>
      </c>
      <c r="F3" s="55">
        <v>35</v>
      </c>
      <c r="G3" s="53"/>
      <c r="H3" s="57"/>
      <c r="I3" s="56"/>
      <c r="J3" s="56"/>
      <c r="K3" s="36" t="s">
        <v>65</v>
      </c>
      <c r="L3" s="62">
        <v>3</v>
      </c>
      <c r="M3" s="62"/>
      <c r="N3" s="63"/>
      <c r="O3" s="85" t="s">
        <v>176</v>
      </c>
      <c r="P3" s="87">
        <v>43500.535833333335</v>
      </c>
      <c r="Q3" s="85" t="s">
        <v>218</v>
      </c>
      <c r="R3" s="85"/>
      <c r="S3" s="85"/>
      <c r="T3" s="85" t="s">
        <v>223</v>
      </c>
      <c r="U3" s="90" t="s">
        <v>225</v>
      </c>
      <c r="V3" s="90" t="s">
        <v>225</v>
      </c>
      <c r="W3" s="87">
        <v>43500.535833333335</v>
      </c>
      <c r="X3" s="90" t="s">
        <v>228</v>
      </c>
      <c r="Y3" s="85"/>
      <c r="Z3" s="85"/>
      <c r="AA3" s="91" t="s">
        <v>231</v>
      </c>
      <c r="AB3" s="85"/>
      <c r="AC3" s="85" t="b">
        <v>0</v>
      </c>
      <c r="AD3" s="85">
        <v>2</v>
      </c>
      <c r="AE3" s="91" t="s">
        <v>234</v>
      </c>
      <c r="AF3" s="85" t="b">
        <v>0</v>
      </c>
      <c r="AG3" s="85" t="s">
        <v>235</v>
      </c>
      <c r="AH3" s="85"/>
      <c r="AI3" s="91" t="s">
        <v>234</v>
      </c>
      <c r="AJ3" s="85" t="b">
        <v>0</v>
      </c>
      <c r="AK3" s="85">
        <v>1</v>
      </c>
      <c r="AL3" s="91" t="s">
        <v>234</v>
      </c>
      <c r="AM3" s="85" t="s">
        <v>236</v>
      </c>
      <c r="AN3" s="85" t="b">
        <v>0</v>
      </c>
      <c r="AO3" s="91" t="s">
        <v>231</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v>2</v>
      </c>
      <c r="BE3" s="52">
        <v>5.882352941176471</v>
      </c>
      <c r="BF3" s="51">
        <v>0</v>
      </c>
      <c r="BG3" s="52">
        <v>0</v>
      </c>
      <c r="BH3" s="51">
        <v>0</v>
      </c>
      <c r="BI3" s="52">
        <v>0</v>
      </c>
      <c r="BJ3" s="51">
        <v>32</v>
      </c>
      <c r="BK3" s="52">
        <v>94.11764705882354</v>
      </c>
      <c r="BL3" s="51">
        <v>34</v>
      </c>
    </row>
    <row r="4" spans="1:64" ht="15" customHeight="1">
      <c r="A4" s="84" t="s">
        <v>213</v>
      </c>
      <c r="B4" s="84" t="s">
        <v>212</v>
      </c>
      <c r="C4" s="53" t="s">
        <v>465</v>
      </c>
      <c r="D4" s="54">
        <v>3</v>
      </c>
      <c r="E4" s="65" t="s">
        <v>132</v>
      </c>
      <c r="F4" s="55">
        <v>35</v>
      </c>
      <c r="G4" s="53"/>
      <c r="H4" s="57"/>
      <c r="I4" s="56"/>
      <c r="J4" s="56"/>
      <c r="K4" s="36" t="s">
        <v>65</v>
      </c>
      <c r="L4" s="83">
        <v>4</v>
      </c>
      <c r="M4" s="83"/>
      <c r="N4" s="63"/>
      <c r="O4" s="86" t="s">
        <v>217</v>
      </c>
      <c r="P4" s="88">
        <v>43500.53658564815</v>
      </c>
      <c r="Q4" s="86" t="s">
        <v>219</v>
      </c>
      <c r="R4" s="86"/>
      <c r="S4" s="86"/>
      <c r="T4" s="86"/>
      <c r="U4" s="86"/>
      <c r="V4" s="89" t="s">
        <v>226</v>
      </c>
      <c r="W4" s="88">
        <v>43500.53658564815</v>
      </c>
      <c r="X4" s="89" t="s">
        <v>229</v>
      </c>
      <c r="Y4" s="86"/>
      <c r="Z4" s="86"/>
      <c r="AA4" s="92" t="s">
        <v>232</v>
      </c>
      <c r="AB4" s="86"/>
      <c r="AC4" s="86" t="b">
        <v>0</v>
      </c>
      <c r="AD4" s="86">
        <v>0</v>
      </c>
      <c r="AE4" s="92" t="s">
        <v>234</v>
      </c>
      <c r="AF4" s="86" t="b">
        <v>0</v>
      </c>
      <c r="AG4" s="86" t="s">
        <v>235</v>
      </c>
      <c r="AH4" s="86"/>
      <c r="AI4" s="92" t="s">
        <v>234</v>
      </c>
      <c r="AJ4" s="86" t="b">
        <v>0</v>
      </c>
      <c r="AK4" s="86">
        <v>1</v>
      </c>
      <c r="AL4" s="92" t="s">
        <v>231</v>
      </c>
      <c r="AM4" s="86" t="s">
        <v>237</v>
      </c>
      <c r="AN4" s="86" t="b">
        <v>0</v>
      </c>
      <c r="AO4" s="92" t="s">
        <v>231</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v>1</v>
      </c>
      <c r="BE4" s="52">
        <v>3.8461538461538463</v>
      </c>
      <c r="BF4" s="51">
        <v>0</v>
      </c>
      <c r="BG4" s="52">
        <v>0</v>
      </c>
      <c r="BH4" s="51">
        <v>0</v>
      </c>
      <c r="BI4" s="52">
        <v>0</v>
      </c>
      <c r="BJ4" s="51">
        <v>25</v>
      </c>
      <c r="BK4" s="52">
        <v>96.15384615384616</v>
      </c>
      <c r="BL4" s="51">
        <v>26</v>
      </c>
    </row>
    <row r="5" spans="1:64" ht="45">
      <c r="A5" s="84" t="s">
        <v>214</v>
      </c>
      <c r="B5" s="84" t="s">
        <v>215</v>
      </c>
      <c r="C5" s="53" t="s">
        <v>465</v>
      </c>
      <c r="D5" s="54">
        <v>3</v>
      </c>
      <c r="E5" s="65" t="s">
        <v>132</v>
      </c>
      <c r="F5" s="55">
        <v>35</v>
      </c>
      <c r="G5" s="53"/>
      <c r="H5" s="57"/>
      <c r="I5" s="56"/>
      <c r="J5" s="56"/>
      <c r="K5" s="36" t="s">
        <v>65</v>
      </c>
      <c r="L5" s="83">
        <v>5</v>
      </c>
      <c r="M5" s="83"/>
      <c r="N5" s="63"/>
      <c r="O5" s="86" t="s">
        <v>217</v>
      </c>
      <c r="P5" s="88">
        <v>43508.77686342593</v>
      </c>
      <c r="Q5" s="86" t="s">
        <v>220</v>
      </c>
      <c r="R5" s="89" t="s">
        <v>221</v>
      </c>
      <c r="S5" s="86" t="s">
        <v>222</v>
      </c>
      <c r="T5" s="86" t="s">
        <v>224</v>
      </c>
      <c r="U5" s="86"/>
      <c r="V5" s="89" t="s">
        <v>227</v>
      </c>
      <c r="W5" s="88">
        <v>43508.77686342593</v>
      </c>
      <c r="X5" s="89" t="s">
        <v>230</v>
      </c>
      <c r="Y5" s="86"/>
      <c r="Z5" s="86"/>
      <c r="AA5" s="92" t="s">
        <v>233</v>
      </c>
      <c r="AB5" s="86"/>
      <c r="AC5" s="86" t="b">
        <v>0</v>
      </c>
      <c r="AD5" s="86">
        <v>2</v>
      </c>
      <c r="AE5" s="92" t="s">
        <v>234</v>
      </c>
      <c r="AF5" s="86" t="b">
        <v>0</v>
      </c>
      <c r="AG5" s="86" t="s">
        <v>235</v>
      </c>
      <c r="AH5" s="86"/>
      <c r="AI5" s="92" t="s">
        <v>234</v>
      </c>
      <c r="AJ5" s="86" t="b">
        <v>0</v>
      </c>
      <c r="AK5" s="86">
        <v>0</v>
      </c>
      <c r="AL5" s="92" t="s">
        <v>234</v>
      </c>
      <c r="AM5" s="86" t="s">
        <v>236</v>
      </c>
      <c r="AN5" s="86" t="b">
        <v>0</v>
      </c>
      <c r="AO5" s="92" t="s">
        <v>233</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c r="BE5" s="52"/>
      <c r="BF5" s="51"/>
      <c r="BG5" s="52"/>
      <c r="BH5" s="51"/>
      <c r="BI5" s="52"/>
      <c r="BJ5" s="51"/>
      <c r="BK5" s="52"/>
      <c r="BL5" s="51"/>
    </row>
    <row r="6" spans="1:64" ht="45">
      <c r="A6" s="84" t="s">
        <v>214</v>
      </c>
      <c r="B6" s="84" t="s">
        <v>216</v>
      </c>
      <c r="C6" s="53" t="s">
        <v>465</v>
      </c>
      <c r="D6" s="54">
        <v>3</v>
      </c>
      <c r="E6" s="65" t="s">
        <v>132</v>
      </c>
      <c r="F6" s="55">
        <v>35</v>
      </c>
      <c r="G6" s="53"/>
      <c r="H6" s="57"/>
      <c r="I6" s="56"/>
      <c r="J6" s="56"/>
      <c r="K6" s="36" t="s">
        <v>65</v>
      </c>
      <c r="L6" s="83">
        <v>6</v>
      </c>
      <c r="M6" s="83"/>
      <c r="N6" s="63"/>
      <c r="O6" s="86" t="s">
        <v>217</v>
      </c>
      <c r="P6" s="88">
        <v>43508.77686342593</v>
      </c>
      <c r="Q6" s="86" t="s">
        <v>220</v>
      </c>
      <c r="R6" s="89" t="s">
        <v>221</v>
      </c>
      <c r="S6" s="86" t="s">
        <v>222</v>
      </c>
      <c r="T6" s="86" t="s">
        <v>224</v>
      </c>
      <c r="U6" s="86"/>
      <c r="V6" s="89" t="s">
        <v>227</v>
      </c>
      <c r="W6" s="88">
        <v>43508.77686342593</v>
      </c>
      <c r="X6" s="89" t="s">
        <v>230</v>
      </c>
      <c r="Y6" s="86"/>
      <c r="Z6" s="86"/>
      <c r="AA6" s="92" t="s">
        <v>233</v>
      </c>
      <c r="AB6" s="86"/>
      <c r="AC6" s="86" t="b">
        <v>0</v>
      </c>
      <c r="AD6" s="86">
        <v>2</v>
      </c>
      <c r="AE6" s="92" t="s">
        <v>234</v>
      </c>
      <c r="AF6" s="86" t="b">
        <v>0</v>
      </c>
      <c r="AG6" s="86" t="s">
        <v>235</v>
      </c>
      <c r="AH6" s="86"/>
      <c r="AI6" s="92" t="s">
        <v>234</v>
      </c>
      <c r="AJ6" s="86" t="b">
        <v>0</v>
      </c>
      <c r="AK6" s="86">
        <v>0</v>
      </c>
      <c r="AL6" s="92" t="s">
        <v>234</v>
      </c>
      <c r="AM6" s="86" t="s">
        <v>236</v>
      </c>
      <c r="AN6" s="86" t="b">
        <v>0</v>
      </c>
      <c r="AO6" s="92" t="s">
        <v>233</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0</v>
      </c>
      <c r="BE6" s="52">
        <v>0</v>
      </c>
      <c r="BF6" s="51">
        <v>2</v>
      </c>
      <c r="BG6" s="52">
        <v>7.407407407407407</v>
      </c>
      <c r="BH6" s="51">
        <v>0</v>
      </c>
      <c r="BI6" s="52">
        <v>0</v>
      </c>
      <c r="BJ6" s="51">
        <v>25</v>
      </c>
      <c r="BK6" s="52">
        <v>92.5925925925926</v>
      </c>
      <c r="BL6" s="51">
        <v>27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hyperlinks>
    <hyperlink ref="R5" r:id="rId1" display="https://www.theglobeandmail.com/canada/article-toronto-researchers-uncover-neurochemicals-role-in-fighting-infection/?utm_medium=Referrer:+Social+Network+/+Media&amp;utm_campaign=Shared+Web+Article+Links"/>
    <hyperlink ref="R6" r:id="rId2" display="https://www.theglobeandmail.com/canada/article-toronto-researchers-uncover-neurochemicals-role-in-fighting-infection/?utm_medium=Referrer:+Social+Network+/+Media&amp;utm_campaign=Shared+Web+Article+Links"/>
    <hyperlink ref="U3" r:id="rId3" display="https://pbs.twimg.com/media/DykAg9_WsAEO6-t.jpg"/>
    <hyperlink ref="V3" r:id="rId4" display="https://pbs.twimg.com/media/DykAg9_WsAEO6-t.jpg"/>
    <hyperlink ref="V4" r:id="rId5" display="http://pbs.twimg.com/profile_images/1091700592676868097/PMqgqEJb_normal.jpg"/>
    <hyperlink ref="V5" r:id="rId6" display="http://pbs.twimg.com/profile_images/961807013922656256/iKOmXK4g_normal.jpg"/>
    <hyperlink ref="V6" r:id="rId7" display="http://pbs.twimg.com/profile_images/961807013922656256/iKOmXK4g_normal.jpg"/>
    <hyperlink ref="X3" r:id="rId8" display="https://twitter.com/#!/pandittushar/status/1092405308314521605"/>
    <hyperlink ref="X4" r:id="rId9" display="https://twitter.com/#!/yqgudiya_/status/1092405581204373504"/>
    <hyperlink ref="X5" r:id="rId10" display="https://twitter.com/#!/fallah_rad/status/1095391757913780224"/>
    <hyperlink ref="X6" r:id="rId11" display="https://twitter.com/#!/fallah_rad/status/1095391757913780224"/>
  </hyperlinks>
  <printOptions/>
  <pageMargins left="0.7" right="0.7" top="0.75" bottom="0.75" header="0.3" footer="0.3"/>
  <pageSetup horizontalDpi="600" verticalDpi="600" orientation="portrait" r:id="rId15"/>
  <legacyDrawing r:id="rId13"/>
  <tableParts>
    <tablePart r:id="rId1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434</v>
      </c>
      <c r="B1" s="13" t="s">
        <v>435</v>
      </c>
      <c r="C1" s="13" t="s">
        <v>436</v>
      </c>
      <c r="D1" s="13" t="s">
        <v>144</v>
      </c>
      <c r="E1" s="13" t="s">
        <v>438</v>
      </c>
      <c r="F1" s="13" t="s">
        <v>439</v>
      </c>
      <c r="G1" s="13" t="s">
        <v>440</v>
      </c>
    </row>
    <row r="2" spans="1:7" ht="15">
      <c r="A2" s="85" t="s">
        <v>370</v>
      </c>
      <c r="B2" s="85">
        <v>3</v>
      </c>
      <c r="C2" s="132">
        <v>0.034482758620689655</v>
      </c>
      <c r="D2" s="85" t="s">
        <v>437</v>
      </c>
      <c r="E2" s="85"/>
      <c r="F2" s="85"/>
      <c r="G2" s="85"/>
    </row>
    <row r="3" spans="1:7" ht="15">
      <c r="A3" s="85" t="s">
        <v>371</v>
      </c>
      <c r="B3" s="85">
        <v>2</v>
      </c>
      <c r="C3" s="132">
        <v>0.022988505747126436</v>
      </c>
      <c r="D3" s="85" t="s">
        <v>437</v>
      </c>
      <c r="E3" s="85"/>
      <c r="F3" s="85"/>
      <c r="G3" s="85"/>
    </row>
    <row r="4" spans="1:7" ht="15">
      <c r="A4" s="85" t="s">
        <v>372</v>
      </c>
      <c r="B4" s="85">
        <v>0</v>
      </c>
      <c r="C4" s="132">
        <v>0</v>
      </c>
      <c r="D4" s="85" t="s">
        <v>437</v>
      </c>
      <c r="E4" s="85"/>
      <c r="F4" s="85"/>
      <c r="G4" s="85"/>
    </row>
    <row r="5" spans="1:7" ht="15">
      <c r="A5" s="85" t="s">
        <v>373</v>
      </c>
      <c r="B5" s="85">
        <v>82</v>
      </c>
      <c r="C5" s="132">
        <v>0.9425287356321839</v>
      </c>
      <c r="D5" s="85" t="s">
        <v>437</v>
      </c>
      <c r="E5" s="85"/>
      <c r="F5" s="85"/>
      <c r="G5" s="85"/>
    </row>
    <row r="6" spans="1:7" ht="15">
      <c r="A6" s="85" t="s">
        <v>374</v>
      </c>
      <c r="B6" s="85">
        <v>87</v>
      </c>
      <c r="C6" s="132">
        <v>1</v>
      </c>
      <c r="D6" s="85" t="s">
        <v>437</v>
      </c>
      <c r="E6" s="85"/>
      <c r="F6" s="85"/>
      <c r="G6" s="85"/>
    </row>
    <row r="7" spans="1:7" ht="15">
      <c r="A7" s="91" t="s">
        <v>375</v>
      </c>
      <c r="B7" s="91">
        <v>3</v>
      </c>
      <c r="C7" s="133">
        <v>0.011239867599298802</v>
      </c>
      <c r="D7" s="91" t="s">
        <v>437</v>
      </c>
      <c r="E7" s="91" t="b">
        <v>0</v>
      </c>
      <c r="F7" s="91" t="b">
        <v>0</v>
      </c>
      <c r="G7" s="91" t="b">
        <v>0</v>
      </c>
    </row>
    <row r="8" spans="1:7" ht="15">
      <c r="A8" s="91" t="s">
        <v>376</v>
      </c>
      <c r="B8" s="91">
        <v>3</v>
      </c>
      <c r="C8" s="133">
        <v>0.011239867599298802</v>
      </c>
      <c r="D8" s="91" t="s">
        <v>437</v>
      </c>
      <c r="E8" s="91" t="b">
        <v>0</v>
      </c>
      <c r="F8" s="91" t="b">
        <v>0</v>
      </c>
      <c r="G8" s="91" t="b">
        <v>0</v>
      </c>
    </row>
    <row r="9" spans="1:7" ht="15">
      <c r="A9" s="91" t="s">
        <v>377</v>
      </c>
      <c r="B9" s="91">
        <v>2</v>
      </c>
      <c r="C9" s="133">
        <v>0.020303032115730316</v>
      </c>
      <c r="D9" s="91" t="s">
        <v>437</v>
      </c>
      <c r="E9" s="91" t="b">
        <v>0</v>
      </c>
      <c r="F9" s="91" t="b">
        <v>0</v>
      </c>
      <c r="G9" s="91" t="b">
        <v>0</v>
      </c>
    </row>
    <row r="10" spans="1:7" ht="15">
      <c r="A10" s="91" t="s">
        <v>378</v>
      </c>
      <c r="B10" s="91">
        <v>2</v>
      </c>
      <c r="C10" s="133">
        <v>0.020303032115730316</v>
      </c>
      <c r="D10" s="91" t="s">
        <v>437</v>
      </c>
      <c r="E10" s="91" t="b">
        <v>0</v>
      </c>
      <c r="F10" s="91" t="b">
        <v>1</v>
      </c>
      <c r="G10" s="91" t="b">
        <v>0</v>
      </c>
    </row>
    <row r="11" spans="1:7" ht="15">
      <c r="A11" s="91" t="s">
        <v>379</v>
      </c>
      <c r="B11" s="91">
        <v>2</v>
      </c>
      <c r="C11" s="133">
        <v>0.0074932450661992014</v>
      </c>
      <c r="D11" s="91" t="s">
        <v>437</v>
      </c>
      <c r="E11" s="91" t="b">
        <v>0</v>
      </c>
      <c r="F11" s="91" t="b">
        <v>0</v>
      </c>
      <c r="G11" s="91" t="b">
        <v>0</v>
      </c>
    </row>
    <row r="12" spans="1:7" ht="15">
      <c r="A12" s="91" t="s">
        <v>382</v>
      </c>
      <c r="B12" s="91">
        <v>2</v>
      </c>
      <c r="C12" s="133">
        <v>0.0074932450661992014</v>
      </c>
      <c r="D12" s="91" t="s">
        <v>437</v>
      </c>
      <c r="E12" s="91" t="b">
        <v>0</v>
      </c>
      <c r="F12" s="91" t="b">
        <v>0</v>
      </c>
      <c r="G12" s="91" t="b">
        <v>0</v>
      </c>
    </row>
    <row r="13" spans="1:7" ht="15">
      <c r="A13" s="91" t="s">
        <v>383</v>
      </c>
      <c r="B13" s="91">
        <v>2</v>
      </c>
      <c r="C13" s="133">
        <v>0.0074932450661992014</v>
      </c>
      <c r="D13" s="91" t="s">
        <v>437</v>
      </c>
      <c r="E13" s="91" t="b">
        <v>1</v>
      </c>
      <c r="F13" s="91" t="b">
        <v>0</v>
      </c>
      <c r="G13" s="91" t="b">
        <v>0</v>
      </c>
    </row>
    <row r="14" spans="1:7" ht="15">
      <c r="A14" s="91" t="s">
        <v>384</v>
      </c>
      <c r="B14" s="91">
        <v>2</v>
      </c>
      <c r="C14" s="133">
        <v>0.0074932450661992014</v>
      </c>
      <c r="D14" s="91" t="s">
        <v>437</v>
      </c>
      <c r="E14" s="91" t="b">
        <v>0</v>
      </c>
      <c r="F14" s="91" t="b">
        <v>0</v>
      </c>
      <c r="G14" s="91" t="b">
        <v>0</v>
      </c>
    </row>
    <row r="15" spans="1:7" ht="15">
      <c r="A15" s="91" t="s">
        <v>385</v>
      </c>
      <c r="B15" s="91">
        <v>2</v>
      </c>
      <c r="C15" s="133">
        <v>0.0074932450661992014</v>
      </c>
      <c r="D15" s="91" t="s">
        <v>437</v>
      </c>
      <c r="E15" s="91" t="b">
        <v>0</v>
      </c>
      <c r="F15" s="91" t="b">
        <v>0</v>
      </c>
      <c r="G15" s="91" t="b">
        <v>0</v>
      </c>
    </row>
    <row r="16" spans="1:7" ht="15">
      <c r="A16" s="91" t="s">
        <v>386</v>
      </c>
      <c r="B16" s="91">
        <v>2</v>
      </c>
      <c r="C16" s="133">
        <v>0.0074932450661992014</v>
      </c>
      <c r="D16" s="91" t="s">
        <v>437</v>
      </c>
      <c r="E16" s="91" t="b">
        <v>0</v>
      </c>
      <c r="F16" s="91" t="b">
        <v>0</v>
      </c>
      <c r="G16" s="91" t="b">
        <v>0</v>
      </c>
    </row>
    <row r="17" spans="1:7" ht="15">
      <c r="A17" s="91" t="s">
        <v>387</v>
      </c>
      <c r="B17" s="91">
        <v>2</v>
      </c>
      <c r="C17" s="133">
        <v>0.0074932450661992014</v>
      </c>
      <c r="D17" s="91" t="s">
        <v>437</v>
      </c>
      <c r="E17" s="91" t="b">
        <v>0</v>
      </c>
      <c r="F17" s="91" t="b">
        <v>0</v>
      </c>
      <c r="G17" s="91" t="b">
        <v>0</v>
      </c>
    </row>
    <row r="18" spans="1:7" ht="15">
      <c r="A18" s="91" t="s">
        <v>377</v>
      </c>
      <c r="B18" s="91">
        <v>2</v>
      </c>
      <c r="C18" s="133">
        <v>0</v>
      </c>
      <c r="D18" s="91" t="s">
        <v>336</v>
      </c>
      <c r="E18" s="91" t="b">
        <v>0</v>
      </c>
      <c r="F18" s="91" t="b">
        <v>0</v>
      </c>
      <c r="G18" s="91" t="b">
        <v>0</v>
      </c>
    </row>
    <row r="19" spans="1:7" ht="15">
      <c r="A19" s="91" t="s">
        <v>378</v>
      </c>
      <c r="B19" s="91">
        <v>2</v>
      </c>
      <c r="C19" s="133">
        <v>0</v>
      </c>
      <c r="D19" s="91" t="s">
        <v>336</v>
      </c>
      <c r="E19" s="91" t="b">
        <v>0</v>
      </c>
      <c r="F19" s="91" t="b">
        <v>1</v>
      </c>
      <c r="G19" s="91" t="b">
        <v>0</v>
      </c>
    </row>
    <row r="20" spans="1:7" ht="15">
      <c r="A20" s="91" t="s">
        <v>375</v>
      </c>
      <c r="B20" s="91">
        <v>3</v>
      </c>
      <c r="C20" s="133">
        <v>0</v>
      </c>
      <c r="D20" s="91" t="s">
        <v>337</v>
      </c>
      <c r="E20" s="91" t="b">
        <v>0</v>
      </c>
      <c r="F20" s="91" t="b">
        <v>0</v>
      </c>
      <c r="G20" s="91" t="b">
        <v>0</v>
      </c>
    </row>
    <row r="21" spans="1:7" ht="15">
      <c r="A21" s="91" t="s">
        <v>376</v>
      </c>
      <c r="B21" s="91">
        <v>3</v>
      </c>
      <c r="C21" s="133">
        <v>0</v>
      </c>
      <c r="D21" s="91" t="s">
        <v>337</v>
      </c>
      <c r="E21" s="91" t="b">
        <v>0</v>
      </c>
      <c r="F21" s="91" t="b">
        <v>0</v>
      </c>
      <c r="G21" s="91" t="b">
        <v>0</v>
      </c>
    </row>
    <row r="22" spans="1:7" ht="15">
      <c r="A22" s="91" t="s">
        <v>382</v>
      </c>
      <c r="B22" s="91">
        <v>2</v>
      </c>
      <c r="C22" s="133">
        <v>0</v>
      </c>
      <c r="D22" s="91" t="s">
        <v>337</v>
      </c>
      <c r="E22" s="91" t="b">
        <v>0</v>
      </c>
      <c r="F22" s="91" t="b">
        <v>0</v>
      </c>
      <c r="G22" s="91" t="b">
        <v>0</v>
      </c>
    </row>
    <row r="23" spans="1:7" ht="15">
      <c r="A23" s="91" t="s">
        <v>383</v>
      </c>
      <c r="B23" s="91">
        <v>2</v>
      </c>
      <c r="C23" s="133">
        <v>0</v>
      </c>
      <c r="D23" s="91" t="s">
        <v>337</v>
      </c>
      <c r="E23" s="91" t="b">
        <v>1</v>
      </c>
      <c r="F23" s="91" t="b">
        <v>0</v>
      </c>
      <c r="G23" s="91" t="b">
        <v>0</v>
      </c>
    </row>
    <row r="24" spans="1:7" ht="15">
      <c r="A24" s="91" t="s">
        <v>384</v>
      </c>
      <c r="B24" s="91">
        <v>2</v>
      </c>
      <c r="C24" s="133">
        <v>0</v>
      </c>
      <c r="D24" s="91" t="s">
        <v>337</v>
      </c>
      <c r="E24" s="91" t="b">
        <v>0</v>
      </c>
      <c r="F24" s="91" t="b">
        <v>0</v>
      </c>
      <c r="G24" s="91" t="b">
        <v>0</v>
      </c>
    </row>
    <row r="25" spans="1:7" ht="15">
      <c r="A25" s="91" t="s">
        <v>385</v>
      </c>
      <c r="B25" s="91">
        <v>2</v>
      </c>
      <c r="C25" s="133">
        <v>0</v>
      </c>
      <c r="D25" s="91" t="s">
        <v>337</v>
      </c>
      <c r="E25" s="91" t="b">
        <v>0</v>
      </c>
      <c r="F25" s="91" t="b">
        <v>0</v>
      </c>
      <c r="G25" s="91" t="b">
        <v>0</v>
      </c>
    </row>
    <row r="26" spans="1:7" ht="15">
      <c r="A26" s="91" t="s">
        <v>386</v>
      </c>
      <c r="B26" s="91">
        <v>2</v>
      </c>
      <c r="C26" s="133">
        <v>0</v>
      </c>
      <c r="D26" s="91" t="s">
        <v>337</v>
      </c>
      <c r="E26" s="91" t="b">
        <v>0</v>
      </c>
      <c r="F26" s="91" t="b">
        <v>0</v>
      </c>
      <c r="G26" s="91" t="b">
        <v>0</v>
      </c>
    </row>
    <row r="27" spans="1:7" ht="15">
      <c r="A27" s="91" t="s">
        <v>387</v>
      </c>
      <c r="B27" s="91">
        <v>2</v>
      </c>
      <c r="C27" s="133">
        <v>0</v>
      </c>
      <c r="D27" s="91" t="s">
        <v>337</v>
      </c>
      <c r="E27" s="91" t="b">
        <v>0</v>
      </c>
      <c r="F27" s="91" t="b">
        <v>0</v>
      </c>
      <c r="G27"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441</v>
      </c>
      <c r="B1" s="13" t="s">
        <v>442</v>
      </c>
      <c r="C1" s="13" t="s">
        <v>435</v>
      </c>
      <c r="D1" s="13" t="s">
        <v>436</v>
      </c>
      <c r="E1" s="13" t="s">
        <v>443</v>
      </c>
      <c r="F1" s="13" t="s">
        <v>144</v>
      </c>
      <c r="G1" s="13" t="s">
        <v>444</v>
      </c>
      <c r="H1" s="13" t="s">
        <v>445</v>
      </c>
      <c r="I1" s="13" t="s">
        <v>446</v>
      </c>
      <c r="J1" s="13" t="s">
        <v>447</v>
      </c>
      <c r="K1" s="13" t="s">
        <v>448</v>
      </c>
      <c r="L1" s="13" t="s">
        <v>449</v>
      </c>
    </row>
    <row r="2" spans="1:12" ht="15">
      <c r="A2" s="91" t="s">
        <v>375</v>
      </c>
      <c r="B2" s="91" t="s">
        <v>376</v>
      </c>
      <c r="C2" s="91">
        <v>3</v>
      </c>
      <c r="D2" s="133">
        <v>0.011239867599298802</v>
      </c>
      <c r="E2" s="133">
        <v>1.166331421766525</v>
      </c>
      <c r="F2" s="91" t="s">
        <v>437</v>
      </c>
      <c r="G2" s="91" t="b">
        <v>0</v>
      </c>
      <c r="H2" s="91" t="b">
        <v>0</v>
      </c>
      <c r="I2" s="91" t="b">
        <v>0</v>
      </c>
      <c r="J2" s="91" t="b">
        <v>0</v>
      </c>
      <c r="K2" s="91" t="b">
        <v>0</v>
      </c>
      <c r="L2" s="91" t="b">
        <v>0</v>
      </c>
    </row>
    <row r="3" spans="1:12" ht="15">
      <c r="A3" s="91" t="s">
        <v>382</v>
      </c>
      <c r="B3" s="91" t="s">
        <v>383</v>
      </c>
      <c r="C3" s="91">
        <v>2</v>
      </c>
      <c r="D3" s="133">
        <v>0.0074932450661992014</v>
      </c>
      <c r="E3" s="133">
        <v>1.3424226808222062</v>
      </c>
      <c r="F3" s="91" t="s">
        <v>437</v>
      </c>
      <c r="G3" s="91" t="b">
        <v>0</v>
      </c>
      <c r="H3" s="91" t="b">
        <v>0</v>
      </c>
      <c r="I3" s="91" t="b">
        <v>0</v>
      </c>
      <c r="J3" s="91" t="b">
        <v>1</v>
      </c>
      <c r="K3" s="91" t="b">
        <v>0</v>
      </c>
      <c r="L3" s="91" t="b">
        <v>0</v>
      </c>
    </row>
    <row r="4" spans="1:12" ht="15">
      <c r="A4" s="91" t="s">
        <v>383</v>
      </c>
      <c r="B4" s="91" t="s">
        <v>384</v>
      </c>
      <c r="C4" s="91">
        <v>2</v>
      </c>
      <c r="D4" s="133">
        <v>0.0074932450661992014</v>
      </c>
      <c r="E4" s="133">
        <v>1.3424226808222062</v>
      </c>
      <c r="F4" s="91" t="s">
        <v>437</v>
      </c>
      <c r="G4" s="91" t="b">
        <v>1</v>
      </c>
      <c r="H4" s="91" t="b">
        <v>0</v>
      </c>
      <c r="I4" s="91" t="b">
        <v>0</v>
      </c>
      <c r="J4" s="91" t="b">
        <v>0</v>
      </c>
      <c r="K4" s="91" t="b">
        <v>0</v>
      </c>
      <c r="L4" s="91" t="b">
        <v>0</v>
      </c>
    </row>
    <row r="5" spans="1:12" ht="15">
      <c r="A5" s="91" t="s">
        <v>384</v>
      </c>
      <c r="B5" s="91" t="s">
        <v>385</v>
      </c>
      <c r="C5" s="91">
        <v>2</v>
      </c>
      <c r="D5" s="133">
        <v>0.0074932450661992014</v>
      </c>
      <c r="E5" s="133">
        <v>1.3424226808222062</v>
      </c>
      <c r="F5" s="91" t="s">
        <v>437</v>
      </c>
      <c r="G5" s="91" t="b">
        <v>0</v>
      </c>
      <c r="H5" s="91" t="b">
        <v>0</v>
      </c>
      <c r="I5" s="91" t="b">
        <v>0</v>
      </c>
      <c r="J5" s="91" t="b">
        <v>0</v>
      </c>
      <c r="K5" s="91" t="b">
        <v>0</v>
      </c>
      <c r="L5" s="91" t="b">
        <v>0</v>
      </c>
    </row>
    <row r="6" spans="1:12" ht="15">
      <c r="A6" s="91" t="s">
        <v>385</v>
      </c>
      <c r="B6" s="91" t="s">
        <v>375</v>
      </c>
      <c r="C6" s="91">
        <v>2</v>
      </c>
      <c r="D6" s="133">
        <v>0.0074932450661992014</v>
      </c>
      <c r="E6" s="133">
        <v>1.166331421766525</v>
      </c>
      <c r="F6" s="91" t="s">
        <v>437</v>
      </c>
      <c r="G6" s="91" t="b">
        <v>0</v>
      </c>
      <c r="H6" s="91" t="b">
        <v>0</v>
      </c>
      <c r="I6" s="91" t="b">
        <v>0</v>
      </c>
      <c r="J6" s="91" t="b">
        <v>0</v>
      </c>
      <c r="K6" s="91" t="b">
        <v>0</v>
      </c>
      <c r="L6" s="91" t="b">
        <v>0</v>
      </c>
    </row>
    <row r="7" spans="1:12" ht="15">
      <c r="A7" s="91" t="s">
        <v>376</v>
      </c>
      <c r="B7" s="91" t="s">
        <v>386</v>
      </c>
      <c r="C7" s="91">
        <v>2</v>
      </c>
      <c r="D7" s="133">
        <v>0.0074932450661992014</v>
      </c>
      <c r="E7" s="133">
        <v>1.166331421766525</v>
      </c>
      <c r="F7" s="91" t="s">
        <v>437</v>
      </c>
      <c r="G7" s="91" t="b">
        <v>0</v>
      </c>
      <c r="H7" s="91" t="b">
        <v>0</v>
      </c>
      <c r="I7" s="91" t="b">
        <v>0</v>
      </c>
      <c r="J7" s="91" t="b">
        <v>0</v>
      </c>
      <c r="K7" s="91" t="b">
        <v>0</v>
      </c>
      <c r="L7" s="91" t="b">
        <v>0</v>
      </c>
    </row>
    <row r="8" spans="1:12" ht="15">
      <c r="A8" s="91" t="s">
        <v>386</v>
      </c>
      <c r="B8" s="91" t="s">
        <v>387</v>
      </c>
      <c r="C8" s="91">
        <v>2</v>
      </c>
      <c r="D8" s="133">
        <v>0.0074932450661992014</v>
      </c>
      <c r="E8" s="133">
        <v>1.3424226808222062</v>
      </c>
      <c r="F8" s="91" t="s">
        <v>437</v>
      </c>
      <c r="G8" s="91" t="b">
        <v>0</v>
      </c>
      <c r="H8" s="91" t="b">
        <v>0</v>
      </c>
      <c r="I8" s="91" t="b">
        <v>0</v>
      </c>
      <c r="J8" s="91" t="b">
        <v>0</v>
      </c>
      <c r="K8" s="91" t="b">
        <v>0</v>
      </c>
      <c r="L8" s="91" t="b">
        <v>0</v>
      </c>
    </row>
    <row r="9" spans="1:12" ht="15">
      <c r="A9" s="91" t="s">
        <v>375</v>
      </c>
      <c r="B9" s="91" t="s">
        <v>376</v>
      </c>
      <c r="C9" s="91">
        <v>3</v>
      </c>
      <c r="D9" s="133">
        <v>0</v>
      </c>
      <c r="E9" s="133">
        <v>0.8846065812979305</v>
      </c>
      <c r="F9" s="91" t="s">
        <v>337</v>
      </c>
      <c r="G9" s="91" t="b">
        <v>0</v>
      </c>
      <c r="H9" s="91" t="b">
        <v>0</v>
      </c>
      <c r="I9" s="91" t="b">
        <v>0</v>
      </c>
      <c r="J9" s="91" t="b">
        <v>0</v>
      </c>
      <c r="K9" s="91" t="b">
        <v>0</v>
      </c>
      <c r="L9" s="91" t="b">
        <v>0</v>
      </c>
    </row>
    <row r="10" spans="1:12" ht="15">
      <c r="A10" s="91" t="s">
        <v>382</v>
      </c>
      <c r="B10" s="91" t="s">
        <v>383</v>
      </c>
      <c r="C10" s="91">
        <v>2</v>
      </c>
      <c r="D10" s="133">
        <v>0</v>
      </c>
      <c r="E10" s="133">
        <v>1.0606978403536116</v>
      </c>
      <c r="F10" s="91" t="s">
        <v>337</v>
      </c>
      <c r="G10" s="91" t="b">
        <v>0</v>
      </c>
      <c r="H10" s="91" t="b">
        <v>0</v>
      </c>
      <c r="I10" s="91" t="b">
        <v>0</v>
      </c>
      <c r="J10" s="91" t="b">
        <v>1</v>
      </c>
      <c r="K10" s="91" t="b">
        <v>0</v>
      </c>
      <c r="L10" s="91" t="b">
        <v>0</v>
      </c>
    </row>
    <row r="11" spans="1:12" ht="15">
      <c r="A11" s="91" t="s">
        <v>383</v>
      </c>
      <c r="B11" s="91" t="s">
        <v>384</v>
      </c>
      <c r="C11" s="91">
        <v>2</v>
      </c>
      <c r="D11" s="133">
        <v>0</v>
      </c>
      <c r="E11" s="133">
        <v>1.0606978403536116</v>
      </c>
      <c r="F11" s="91" t="s">
        <v>337</v>
      </c>
      <c r="G11" s="91" t="b">
        <v>1</v>
      </c>
      <c r="H11" s="91" t="b">
        <v>0</v>
      </c>
      <c r="I11" s="91" t="b">
        <v>0</v>
      </c>
      <c r="J11" s="91" t="b">
        <v>0</v>
      </c>
      <c r="K11" s="91" t="b">
        <v>0</v>
      </c>
      <c r="L11" s="91" t="b">
        <v>0</v>
      </c>
    </row>
    <row r="12" spans="1:12" ht="15">
      <c r="A12" s="91" t="s">
        <v>384</v>
      </c>
      <c r="B12" s="91" t="s">
        <v>385</v>
      </c>
      <c r="C12" s="91">
        <v>2</v>
      </c>
      <c r="D12" s="133">
        <v>0</v>
      </c>
      <c r="E12" s="133">
        <v>1.0606978403536116</v>
      </c>
      <c r="F12" s="91" t="s">
        <v>337</v>
      </c>
      <c r="G12" s="91" t="b">
        <v>0</v>
      </c>
      <c r="H12" s="91" t="b">
        <v>0</v>
      </c>
      <c r="I12" s="91" t="b">
        <v>0</v>
      </c>
      <c r="J12" s="91" t="b">
        <v>0</v>
      </c>
      <c r="K12" s="91" t="b">
        <v>0</v>
      </c>
      <c r="L12" s="91" t="b">
        <v>0</v>
      </c>
    </row>
    <row r="13" spans="1:12" ht="15">
      <c r="A13" s="91" t="s">
        <v>385</v>
      </c>
      <c r="B13" s="91" t="s">
        <v>375</v>
      </c>
      <c r="C13" s="91">
        <v>2</v>
      </c>
      <c r="D13" s="133">
        <v>0</v>
      </c>
      <c r="E13" s="133">
        <v>0.8846065812979305</v>
      </c>
      <c r="F13" s="91" t="s">
        <v>337</v>
      </c>
      <c r="G13" s="91" t="b">
        <v>0</v>
      </c>
      <c r="H13" s="91" t="b">
        <v>0</v>
      </c>
      <c r="I13" s="91" t="b">
        <v>0</v>
      </c>
      <c r="J13" s="91" t="b">
        <v>0</v>
      </c>
      <c r="K13" s="91" t="b">
        <v>0</v>
      </c>
      <c r="L13" s="91" t="b">
        <v>0</v>
      </c>
    </row>
    <row r="14" spans="1:12" ht="15">
      <c r="A14" s="91" t="s">
        <v>376</v>
      </c>
      <c r="B14" s="91" t="s">
        <v>386</v>
      </c>
      <c r="C14" s="91">
        <v>2</v>
      </c>
      <c r="D14" s="133">
        <v>0</v>
      </c>
      <c r="E14" s="133">
        <v>0.8846065812979305</v>
      </c>
      <c r="F14" s="91" t="s">
        <v>337</v>
      </c>
      <c r="G14" s="91" t="b">
        <v>0</v>
      </c>
      <c r="H14" s="91" t="b">
        <v>0</v>
      </c>
      <c r="I14" s="91" t="b">
        <v>0</v>
      </c>
      <c r="J14" s="91" t="b">
        <v>0</v>
      </c>
      <c r="K14" s="91" t="b">
        <v>0</v>
      </c>
      <c r="L14" s="91" t="b">
        <v>0</v>
      </c>
    </row>
    <row r="15" spans="1:12" ht="15">
      <c r="A15" s="91" t="s">
        <v>386</v>
      </c>
      <c r="B15" s="91" t="s">
        <v>387</v>
      </c>
      <c r="C15" s="91">
        <v>2</v>
      </c>
      <c r="D15" s="133">
        <v>0</v>
      </c>
      <c r="E15" s="133">
        <v>1.0606978403536116</v>
      </c>
      <c r="F15" s="91" t="s">
        <v>337</v>
      </c>
      <c r="G15" s="91" t="b">
        <v>0</v>
      </c>
      <c r="H15" s="91" t="b">
        <v>0</v>
      </c>
      <c r="I15" s="91" t="b">
        <v>0</v>
      </c>
      <c r="J15" s="91" t="b">
        <v>0</v>
      </c>
      <c r="K15" s="91" t="b">
        <v>0</v>
      </c>
      <c r="L15"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335</v>
      </c>
      <c r="BB2" s="13" t="s">
        <v>341</v>
      </c>
      <c r="BC2" s="13" t="s">
        <v>342</v>
      </c>
      <c r="BD2" s="67" t="s">
        <v>450</v>
      </c>
      <c r="BE2" s="67" t="s">
        <v>451</v>
      </c>
      <c r="BF2" s="67" t="s">
        <v>452</v>
      </c>
      <c r="BG2" s="67" t="s">
        <v>453</v>
      </c>
      <c r="BH2" s="67" t="s">
        <v>454</v>
      </c>
      <c r="BI2" s="67" t="s">
        <v>455</v>
      </c>
      <c r="BJ2" s="67" t="s">
        <v>456</v>
      </c>
      <c r="BK2" s="67" t="s">
        <v>457</v>
      </c>
      <c r="BL2" s="67" t="s">
        <v>458</v>
      </c>
    </row>
    <row r="3" spans="1:64" ht="15" customHeight="1">
      <c r="A3" s="84" t="s">
        <v>212</v>
      </c>
      <c r="B3" s="84" t="s">
        <v>212</v>
      </c>
      <c r="C3" s="53"/>
      <c r="D3" s="54"/>
      <c r="E3" s="65"/>
      <c r="F3" s="55"/>
      <c r="G3" s="53"/>
      <c r="H3" s="57"/>
      <c r="I3" s="56"/>
      <c r="J3" s="56"/>
      <c r="K3" s="36" t="s">
        <v>65</v>
      </c>
      <c r="L3" s="62">
        <v>3</v>
      </c>
      <c r="M3" s="62"/>
      <c r="N3" s="63"/>
      <c r="O3" s="85" t="s">
        <v>176</v>
      </c>
      <c r="P3" s="87">
        <v>43500.535833333335</v>
      </c>
      <c r="Q3" s="85" t="s">
        <v>218</v>
      </c>
      <c r="R3" s="85"/>
      <c r="S3" s="85"/>
      <c r="T3" s="85" t="s">
        <v>223</v>
      </c>
      <c r="U3" s="90" t="s">
        <v>225</v>
      </c>
      <c r="V3" s="90" t="s">
        <v>225</v>
      </c>
      <c r="W3" s="87">
        <v>43500.535833333335</v>
      </c>
      <c r="X3" s="90" t="s">
        <v>228</v>
      </c>
      <c r="Y3" s="85"/>
      <c r="Z3" s="85"/>
      <c r="AA3" s="91" t="s">
        <v>231</v>
      </c>
      <c r="AB3" s="85"/>
      <c r="AC3" s="85" t="b">
        <v>0</v>
      </c>
      <c r="AD3" s="85">
        <v>2</v>
      </c>
      <c r="AE3" s="91" t="s">
        <v>234</v>
      </c>
      <c r="AF3" s="85" t="b">
        <v>0</v>
      </c>
      <c r="AG3" s="85" t="s">
        <v>235</v>
      </c>
      <c r="AH3" s="85"/>
      <c r="AI3" s="91" t="s">
        <v>234</v>
      </c>
      <c r="AJ3" s="85" t="b">
        <v>0</v>
      </c>
      <c r="AK3" s="85">
        <v>1</v>
      </c>
      <c r="AL3" s="91" t="s">
        <v>234</v>
      </c>
      <c r="AM3" s="85" t="s">
        <v>236</v>
      </c>
      <c r="AN3" s="85" t="b">
        <v>0</v>
      </c>
      <c r="AO3" s="91" t="s">
        <v>231</v>
      </c>
      <c r="AP3" s="85" t="s">
        <v>176</v>
      </c>
      <c r="AQ3" s="85">
        <v>0</v>
      </c>
      <c r="AR3" s="85">
        <v>0</v>
      </c>
      <c r="AS3" s="85"/>
      <c r="AT3" s="85"/>
      <c r="AU3" s="85"/>
      <c r="AV3" s="85"/>
      <c r="AW3" s="85"/>
      <c r="AX3" s="85"/>
      <c r="AY3" s="85"/>
      <c r="AZ3" s="85"/>
      <c r="BA3">
        <v>1</v>
      </c>
      <c r="BB3" s="85" t="str">
        <f>REPLACE(INDEX(GroupVertices[Group],MATCH(Edges24[[#This Row],[Vertex 1]],GroupVertices[Vertex],0)),1,1,"")</f>
        <v>2</v>
      </c>
      <c r="BC3" s="85" t="str">
        <f>REPLACE(INDEX(GroupVertices[Group],MATCH(Edges24[[#This Row],[Vertex 2]],GroupVertices[Vertex],0)),1,1,"")</f>
        <v>2</v>
      </c>
      <c r="BD3" s="51">
        <v>2</v>
      </c>
      <c r="BE3" s="52">
        <v>5.882352941176471</v>
      </c>
      <c r="BF3" s="51">
        <v>0</v>
      </c>
      <c r="BG3" s="52">
        <v>0</v>
      </c>
      <c r="BH3" s="51">
        <v>0</v>
      </c>
      <c r="BI3" s="52">
        <v>0</v>
      </c>
      <c r="BJ3" s="51">
        <v>32</v>
      </c>
      <c r="BK3" s="52">
        <v>94.11764705882354</v>
      </c>
      <c r="BL3" s="51">
        <v>34</v>
      </c>
    </row>
    <row r="4" spans="1:64" ht="15" customHeight="1">
      <c r="A4" s="84" t="s">
        <v>213</v>
      </c>
      <c r="B4" s="84" t="s">
        <v>212</v>
      </c>
      <c r="C4" s="53"/>
      <c r="D4" s="54"/>
      <c r="E4" s="65"/>
      <c r="F4" s="55"/>
      <c r="G4" s="53"/>
      <c r="H4" s="57"/>
      <c r="I4" s="56"/>
      <c r="J4" s="56"/>
      <c r="K4" s="36" t="s">
        <v>65</v>
      </c>
      <c r="L4" s="83">
        <v>4</v>
      </c>
      <c r="M4" s="83"/>
      <c r="N4" s="63"/>
      <c r="O4" s="86" t="s">
        <v>217</v>
      </c>
      <c r="P4" s="88">
        <v>43500.53658564815</v>
      </c>
      <c r="Q4" s="86" t="s">
        <v>219</v>
      </c>
      <c r="R4" s="86"/>
      <c r="S4" s="86"/>
      <c r="T4" s="86"/>
      <c r="U4" s="86"/>
      <c r="V4" s="89" t="s">
        <v>226</v>
      </c>
      <c r="W4" s="88">
        <v>43500.53658564815</v>
      </c>
      <c r="X4" s="89" t="s">
        <v>229</v>
      </c>
      <c r="Y4" s="86"/>
      <c r="Z4" s="86"/>
      <c r="AA4" s="92" t="s">
        <v>232</v>
      </c>
      <c r="AB4" s="86"/>
      <c r="AC4" s="86" t="b">
        <v>0</v>
      </c>
      <c r="AD4" s="86">
        <v>0</v>
      </c>
      <c r="AE4" s="92" t="s">
        <v>234</v>
      </c>
      <c r="AF4" s="86" t="b">
        <v>0</v>
      </c>
      <c r="AG4" s="86" t="s">
        <v>235</v>
      </c>
      <c r="AH4" s="86"/>
      <c r="AI4" s="92" t="s">
        <v>234</v>
      </c>
      <c r="AJ4" s="86" t="b">
        <v>0</v>
      </c>
      <c r="AK4" s="86">
        <v>1</v>
      </c>
      <c r="AL4" s="92" t="s">
        <v>231</v>
      </c>
      <c r="AM4" s="86" t="s">
        <v>237</v>
      </c>
      <c r="AN4" s="86" t="b">
        <v>0</v>
      </c>
      <c r="AO4" s="92" t="s">
        <v>231</v>
      </c>
      <c r="AP4" s="86" t="s">
        <v>176</v>
      </c>
      <c r="AQ4" s="86">
        <v>0</v>
      </c>
      <c r="AR4" s="86">
        <v>0</v>
      </c>
      <c r="AS4" s="86"/>
      <c r="AT4" s="86"/>
      <c r="AU4" s="86"/>
      <c r="AV4" s="86"/>
      <c r="AW4" s="86"/>
      <c r="AX4" s="86"/>
      <c r="AY4" s="86"/>
      <c r="AZ4" s="86"/>
      <c r="BA4">
        <v>1</v>
      </c>
      <c r="BB4" s="85" t="str">
        <f>REPLACE(INDEX(GroupVertices[Group],MATCH(Edges24[[#This Row],[Vertex 1]],GroupVertices[Vertex],0)),1,1,"")</f>
        <v>2</v>
      </c>
      <c r="BC4" s="85" t="str">
        <f>REPLACE(INDEX(GroupVertices[Group],MATCH(Edges24[[#This Row],[Vertex 2]],GroupVertices[Vertex],0)),1,1,"")</f>
        <v>2</v>
      </c>
      <c r="BD4" s="51">
        <v>1</v>
      </c>
      <c r="BE4" s="52">
        <v>3.8461538461538463</v>
      </c>
      <c r="BF4" s="51">
        <v>0</v>
      </c>
      <c r="BG4" s="52">
        <v>0</v>
      </c>
      <c r="BH4" s="51">
        <v>0</v>
      </c>
      <c r="BI4" s="52">
        <v>0</v>
      </c>
      <c r="BJ4" s="51">
        <v>25</v>
      </c>
      <c r="BK4" s="52">
        <v>96.15384615384616</v>
      </c>
      <c r="BL4" s="51">
        <v>26</v>
      </c>
    </row>
    <row r="5" spans="1:64" ht="15">
      <c r="A5" s="84" t="s">
        <v>214</v>
      </c>
      <c r="B5" s="84" t="s">
        <v>215</v>
      </c>
      <c r="C5" s="53"/>
      <c r="D5" s="54"/>
      <c r="E5" s="65"/>
      <c r="F5" s="55"/>
      <c r="G5" s="53"/>
      <c r="H5" s="57"/>
      <c r="I5" s="56"/>
      <c r="J5" s="56"/>
      <c r="K5" s="36" t="s">
        <v>65</v>
      </c>
      <c r="L5" s="83">
        <v>5</v>
      </c>
      <c r="M5" s="83"/>
      <c r="N5" s="63"/>
      <c r="O5" s="86" t="s">
        <v>217</v>
      </c>
      <c r="P5" s="88">
        <v>43508.77686342593</v>
      </c>
      <c r="Q5" s="86" t="s">
        <v>220</v>
      </c>
      <c r="R5" s="89" t="s">
        <v>221</v>
      </c>
      <c r="S5" s="86" t="s">
        <v>222</v>
      </c>
      <c r="T5" s="86" t="s">
        <v>224</v>
      </c>
      <c r="U5" s="86"/>
      <c r="V5" s="89" t="s">
        <v>227</v>
      </c>
      <c r="W5" s="88">
        <v>43508.77686342593</v>
      </c>
      <c r="X5" s="89" t="s">
        <v>230</v>
      </c>
      <c r="Y5" s="86"/>
      <c r="Z5" s="86"/>
      <c r="AA5" s="92" t="s">
        <v>233</v>
      </c>
      <c r="AB5" s="86"/>
      <c r="AC5" s="86" t="b">
        <v>0</v>
      </c>
      <c r="AD5" s="86">
        <v>2</v>
      </c>
      <c r="AE5" s="92" t="s">
        <v>234</v>
      </c>
      <c r="AF5" s="86" t="b">
        <v>0</v>
      </c>
      <c r="AG5" s="86" t="s">
        <v>235</v>
      </c>
      <c r="AH5" s="86"/>
      <c r="AI5" s="92" t="s">
        <v>234</v>
      </c>
      <c r="AJ5" s="86" t="b">
        <v>0</v>
      </c>
      <c r="AK5" s="86">
        <v>0</v>
      </c>
      <c r="AL5" s="92" t="s">
        <v>234</v>
      </c>
      <c r="AM5" s="86" t="s">
        <v>236</v>
      </c>
      <c r="AN5" s="86" t="b">
        <v>0</v>
      </c>
      <c r="AO5" s="92" t="s">
        <v>233</v>
      </c>
      <c r="AP5" s="86" t="s">
        <v>176</v>
      </c>
      <c r="AQ5" s="86">
        <v>0</v>
      </c>
      <c r="AR5" s="86">
        <v>0</v>
      </c>
      <c r="AS5" s="86"/>
      <c r="AT5" s="86"/>
      <c r="AU5" s="86"/>
      <c r="AV5" s="86"/>
      <c r="AW5" s="86"/>
      <c r="AX5" s="86"/>
      <c r="AY5" s="86"/>
      <c r="AZ5" s="86"/>
      <c r="BA5">
        <v>1</v>
      </c>
      <c r="BB5" s="85" t="str">
        <f>REPLACE(INDEX(GroupVertices[Group],MATCH(Edges24[[#This Row],[Vertex 1]],GroupVertices[Vertex],0)),1,1,"")</f>
        <v>1</v>
      </c>
      <c r="BC5" s="85" t="str">
        <f>REPLACE(INDEX(GroupVertices[Group],MATCH(Edges24[[#This Row],[Vertex 2]],GroupVertices[Vertex],0)),1,1,"")</f>
        <v>1</v>
      </c>
      <c r="BD5" s="51"/>
      <c r="BE5" s="52"/>
      <c r="BF5" s="51"/>
      <c r="BG5" s="52"/>
      <c r="BH5" s="51"/>
      <c r="BI5" s="52"/>
      <c r="BJ5" s="51"/>
      <c r="BK5" s="52"/>
      <c r="BL5" s="51"/>
    </row>
    <row r="6" spans="1:64" ht="15">
      <c r="A6" s="84" t="s">
        <v>214</v>
      </c>
      <c r="B6" s="84" t="s">
        <v>216</v>
      </c>
      <c r="C6" s="53"/>
      <c r="D6" s="54"/>
      <c r="E6" s="65"/>
      <c r="F6" s="55"/>
      <c r="G6" s="53"/>
      <c r="H6" s="57"/>
      <c r="I6" s="56"/>
      <c r="J6" s="56"/>
      <c r="K6" s="36" t="s">
        <v>65</v>
      </c>
      <c r="L6" s="83">
        <v>6</v>
      </c>
      <c r="M6" s="83"/>
      <c r="N6" s="63"/>
      <c r="O6" s="86" t="s">
        <v>217</v>
      </c>
      <c r="P6" s="88">
        <v>43508.77686342593</v>
      </c>
      <c r="Q6" s="86" t="s">
        <v>220</v>
      </c>
      <c r="R6" s="89" t="s">
        <v>221</v>
      </c>
      <c r="S6" s="86" t="s">
        <v>222</v>
      </c>
      <c r="T6" s="86" t="s">
        <v>224</v>
      </c>
      <c r="U6" s="86"/>
      <c r="V6" s="89" t="s">
        <v>227</v>
      </c>
      <c r="W6" s="88">
        <v>43508.77686342593</v>
      </c>
      <c r="X6" s="89" t="s">
        <v>230</v>
      </c>
      <c r="Y6" s="86"/>
      <c r="Z6" s="86"/>
      <c r="AA6" s="92" t="s">
        <v>233</v>
      </c>
      <c r="AB6" s="86"/>
      <c r="AC6" s="86" t="b">
        <v>0</v>
      </c>
      <c r="AD6" s="86">
        <v>2</v>
      </c>
      <c r="AE6" s="92" t="s">
        <v>234</v>
      </c>
      <c r="AF6" s="86" t="b">
        <v>0</v>
      </c>
      <c r="AG6" s="86" t="s">
        <v>235</v>
      </c>
      <c r="AH6" s="86"/>
      <c r="AI6" s="92" t="s">
        <v>234</v>
      </c>
      <c r="AJ6" s="86" t="b">
        <v>0</v>
      </c>
      <c r="AK6" s="86">
        <v>0</v>
      </c>
      <c r="AL6" s="92" t="s">
        <v>234</v>
      </c>
      <c r="AM6" s="86" t="s">
        <v>236</v>
      </c>
      <c r="AN6" s="86" t="b">
        <v>0</v>
      </c>
      <c r="AO6" s="92" t="s">
        <v>233</v>
      </c>
      <c r="AP6" s="86" t="s">
        <v>176</v>
      </c>
      <c r="AQ6" s="86">
        <v>0</v>
      </c>
      <c r="AR6" s="86">
        <v>0</v>
      </c>
      <c r="AS6" s="86"/>
      <c r="AT6" s="86"/>
      <c r="AU6" s="86"/>
      <c r="AV6" s="86"/>
      <c r="AW6" s="86"/>
      <c r="AX6" s="86"/>
      <c r="AY6" s="86"/>
      <c r="AZ6" s="86"/>
      <c r="BA6">
        <v>1</v>
      </c>
      <c r="BB6" s="85" t="str">
        <f>REPLACE(INDEX(GroupVertices[Group],MATCH(Edges24[[#This Row],[Vertex 1]],GroupVertices[Vertex],0)),1,1,"")</f>
        <v>1</v>
      </c>
      <c r="BC6" s="85" t="str">
        <f>REPLACE(INDEX(GroupVertices[Group],MATCH(Edges24[[#This Row],[Vertex 2]],GroupVertices[Vertex],0)),1,1,"")</f>
        <v>1</v>
      </c>
      <c r="BD6" s="51">
        <v>0</v>
      </c>
      <c r="BE6" s="52">
        <v>0</v>
      </c>
      <c r="BF6" s="51">
        <v>2</v>
      </c>
      <c r="BG6" s="52">
        <v>7.407407407407407</v>
      </c>
      <c r="BH6" s="51">
        <v>0</v>
      </c>
      <c r="BI6" s="52">
        <v>0</v>
      </c>
      <c r="BJ6" s="51">
        <v>25</v>
      </c>
      <c r="BK6" s="52">
        <v>92.5925925925926</v>
      </c>
      <c r="BL6" s="51">
        <v>27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hyperlinks>
    <hyperlink ref="R5" r:id="rId1" display="https://www.theglobeandmail.com/canada/article-toronto-researchers-uncover-neurochemicals-role-in-fighting-infection/?utm_medium=Referrer:+Social+Network+/+Media&amp;utm_campaign=Shared+Web+Article+Links"/>
    <hyperlink ref="R6" r:id="rId2" display="https://www.theglobeandmail.com/canada/article-toronto-researchers-uncover-neurochemicals-role-in-fighting-infection/?utm_medium=Referrer:+Social+Network+/+Media&amp;utm_campaign=Shared+Web+Article+Links"/>
    <hyperlink ref="U3" r:id="rId3" display="https://pbs.twimg.com/media/DykAg9_WsAEO6-t.jpg"/>
    <hyperlink ref="V3" r:id="rId4" display="https://pbs.twimg.com/media/DykAg9_WsAEO6-t.jpg"/>
    <hyperlink ref="V4" r:id="rId5" display="http://pbs.twimg.com/profile_images/1091700592676868097/PMqgqEJb_normal.jpg"/>
    <hyperlink ref="V5" r:id="rId6" display="http://pbs.twimg.com/profile_images/961807013922656256/iKOmXK4g_normal.jpg"/>
    <hyperlink ref="V6" r:id="rId7" display="http://pbs.twimg.com/profile_images/961807013922656256/iKOmXK4g_normal.jpg"/>
    <hyperlink ref="X3" r:id="rId8" display="https://twitter.com/#!/pandittushar/status/1092405308314521605"/>
    <hyperlink ref="X4" r:id="rId9" display="https://twitter.com/#!/yqgudiya_/status/1092405581204373504"/>
    <hyperlink ref="X5" r:id="rId10" display="https://twitter.com/#!/fallah_rad/status/1095391757913780224"/>
    <hyperlink ref="X6" r:id="rId11" display="https://twitter.com/#!/fallah_rad/status/1095391757913780224"/>
  </hyperlinks>
  <printOptions/>
  <pageMargins left="0.7" right="0.7" top="0.75" bottom="0.75" header="0.3" footer="0.3"/>
  <pageSetup horizontalDpi="600" verticalDpi="600" orientation="portrait" r:id="rId15"/>
  <legacyDrawing r:id="rId13"/>
  <tableParts>
    <tablePart r:id="rId1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461</v>
      </c>
      <c r="B1" s="13" t="s">
        <v>34</v>
      </c>
    </row>
    <row r="2" spans="1:2" ht="15">
      <c r="A2" s="124" t="s">
        <v>214</v>
      </c>
      <c r="B2" s="85">
        <v>2</v>
      </c>
    </row>
    <row r="3" spans="1:2" ht="15">
      <c r="A3" s="124" t="s">
        <v>215</v>
      </c>
      <c r="B3" s="85">
        <v>0</v>
      </c>
    </row>
    <row r="4" spans="1:2" ht="15">
      <c r="A4" s="124" t="s">
        <v>216</v>
      </c>
      <c r="B4" s="85">
        <v>0</v>
      </c>
    </row>
    <row r="5" spans="1:2" ht="15">
      <c r="A5" s="124" t="s">
        <v>213</v>
      </c>
      <c r="B5" s="85">
        <v>0</v>
      </c>
    </row>
    <row r="6" spans="1:2" ht="15">
      <c r="A6" s="124" t="s">
        <v>212</v>
      </c>
      <c r="B6"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463</v>
      </c>
      <c r="B25" t="s">
        <v>462</v>
      </c>
    </row>
    <row r="26" spans="1:2" ht="15">
      <c r="A26" s="136">
        <v>43500.535833333335</v>
      </c>
      <c r="B26" s="3">
        <v>1</v>
      </c>
    </row>
    <row r="27" spans="1:2" ht="15">
      <c r="A27" s="136">
        <v>43500.53658564815</v>
      </c>
      <c r="B27" s="3">
        <v>1</v>
      </c>
    </row>
    <row r="28" spans="1:2" ht="15">
      <c r="A28" s="136">
        <v>43508.77686342593</v>
      </c>
      <c r="B28" s="3">
        <v>2</v>
      </c>
    </row>
    <row r="29" spans="1:2" ht="15">
      <c r="A29" s="136" t="s">
        <v>464</v>
      </c>
      <c r="B29"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238</v>
      </c>
      <c r="AE2" s="13" t="s">
        <v>239</v>
      </c>
      <c r="AF2" s="13" t="s">
        <v>240</v>
      </c>
      <c r="AG2" s="13" t="s">
        <v>241</v>
      </c>
      <c r="AH2" s="13" t="s">
        <v>242</v>
      </c>
      <c r="AI2" s="13" t="s">
        <v>243</v>
      </c>
      <c r="AJ2" s="13" t="s">
        <v>244</v>
      </c>
      <c r="AK2" s="13" t="s">
        <v>245</v>
      </c>
      <c r="AL2" s="13" t="s">
        <v>246</v>
      </c>
      <c r="AM2" s="13" t="s">
        <v>247</v>
      </c>
      <c r="AN2" s="13" t="s">
        <v>248</v>
      </c>
      <c r="AO2" s="13" t="s">
        <v>249</v>
      </c>
      <c r="AP2" s="13" t="s">
        <v>250</v>
      </c>
      <c r="AQ2" s="13" t="s">
        <v>251</v>
      </c>
      <c r="AR2" s="13" t="s">
        <v>252</v>
      </c>
      <c r="AS2" s="13" t="s">
        <v>192</v>
      </c>
      <c r="AT2" s="13" t="s">
        <v>253</v>
      </c>
      <c r="AU2" s="13" t="s">
        <v>254</v>
      </c>
      <c r="AV2" s="13" t="s">
        <v>255</v>
      </c>
      <c r="AW2" s="13" t="s">
        <v>256</v>
      </c>
      <c r="AX2" s="13" t="s">
        <v>257</v>
      </c>
      <c r="AY2" s="13" t="s">
        <v>258</v>
      </c>
      <c r="AZ2" s="13" t="s">
        <v>340</v>
      </c>
      <c r="BA2" s="130" t="s">
        <v>418</v>
      </c>
      <c r="BB2" s="130" t="s">
        <v>419</v>
      </c>
      <c r="BC2" s="130" t="s">
        <v>420</v>
      </c>
      <c r="BD2" s="130" t="s">
        <v>421</v>
      </c>
      <c r="BE2" s="130" t="s">
        <v>422</v>
      </c>
      <c r="BF2" s="130" t="s">
        <v>423</v>
      </c>
      <c r="BG2" s="130" t="s">
        <v>424</v>
      </c>
      <c r="BH2" s="130" t="s">
        <v>428</v>
      </c>
      <c r="BI2" s="130" t="s">
        <v>429</v>
      </c>
      <c r="BJ2" s="130" t="s">
        <v>433</v>
      </c>
      <c r="BK2" s="130" t="s">
        <v>450</v>
      </c>
      <c r="BL2" s="130" t="s">
        <v>451</v>
      </c>
      <c r="BM2" s="130" t="s">
        <v>452</v>
      </c>
      <c r="BN2" s="130" t="s">
        <v>453</v>
      </c>
      <c r="BO2" s="130" t="s">
        <v>454</v>
      </c>
      <c r="BP2" s="130" t="s">
        <v>455</v>
      </c>
      <c r="BQ2" s="130" t="s">
        <v>456</v>
      </c>
      <c r="BR2" s="130" t="s">
        <v>457</v>
      </c>
      <c r="BS2" s="130" t="s">
        <v>459</v>
      </c>
      <c r="BT2" s="3"/>
      <c r="BU2" s="3"/>
    </row>
    <row r="3" spans="1:73" ht="15" customHeight="1">
      <c r="A3" s="50" t="s">
        <v>212</v>
      </c>
      <c r="B3" s="53"/>
      <c r="C3" s="53" t="s">
        <v>64</v>
      </c>
      <c r="D3" s="54">
        <v>1000</v>
      </c>
      <c r="E3" s="55"/>
      <c r="F3" s="112" t="s">
        <v>283</v>
      </c>
      <c r="G3" s="53"/>
      <c r="H3" s="57" t="s">
        <v>212</v>
      </c>
      <c r="I3" s="56"/>
      <c r="J3" s="56"/>
      <c r="K3" s="114" t="s">
        <v>292</v>
      </c>
      <c r="L3" s="59">
        <v>1</v>
      </c>
      <c r="M3" s="60">
        <v>7939.4267578125</v>
      </c>
      <c r="N3" s="60">
        <v>7322.796875</v>
      </c>
      <c r="O3" s="58"/>
      <c r="P3" s="61"/>
      <c r="Q3" s="61"/>
      <c r="R3" s="51"/>
      <c r="S3" s="51">
        <v>2</v>
      </c>
      <c r="T3" s="51">
        <v>1</v>
      </c>
      <c r="U3" s="52">
        <v>0</v>
      </c>
      <c r="V3" s="52">
        <v>1</v>
      </c>
      <c r="W3" s="52">
        <v>0.618031</v>
      </c>
      <c r="X3" s="52">
        <v>1.298106</v>
      </c>
      <c r="Y3" s="52">
        <v>0</v>
      </c>
      <c r="Z3" s="52">
        <v>0</v>
      </c>
      <c r="AA3" s="62">
        <v>3</v>
      </c>
      <c r="AB3" s="62"/>
      <c r="AC3" s="63"/>
      <c r="AD3" s="85" t="s">
        <v>259</v>
      </c>
      <c r="AE3" s="85">
        <v>576</v>
      </c>
      <c r="AF3" s="85">
        <v>1405</v>
      </c>
      <c r="AG3" s="85">
        <v>27826</v>
      </c>
      <c r="AH3" s="85">
        <v>8456</v>
      </c>
      <c r="AI3" s="85"/>
      <c r="AJ3" s="85" t="s">
        <v>264</v>
      </c>
      <c r="AK3" s="85" t="s">
        <v>269</v>
      </c>
      <c r="AL3" s="90" t="s">
        <v>274</v>
      </c>
      <c r="AM3" s="85"/>
      <c r="AN3" s="87">
        <v>40602.88116898148</v>
      </c>
      <c r="AO3" s="90" t="s">
        <v>276</v>
      </c>
      <c r="AP3" s="85" t="b">
        <v>0</v>
      </c>
      <c r="AQ3" s="85" t="b">
        <v>0</v>
      </c>
      <c r="AR3" s="85" t="b">
        <v>1</v>
      </c>
      <c r="AS3" s="85" t="s">
        <v>235</v>
      </c>
      <c r="AT3" s="85">
        <v>1227</v>
      </c>
      <c r="AU3" s="90" t="s">
        <v>281</v>
      </c>
      <c r="AV3" s="85" t="b">
        <v>0</v>
      </c>
      <c r="AW3" s="85" t="s">
        <v>286</v>
      </c>
      <c r="AX3" s="90" t="s">
        <v>287</v>
      </c>
      <c r="AY3" s="85" t="s">
        <v>66</v>
      </c>
      <c r="AZ3" s="85" t="str">
        <f>REPLACE(INDEX(GroupVertices[Group],MATCH(Vertices[[#This Row],[Vertex]],GroupVertices[Vertex],0)),1,1,"")</f>
        <v>2</v>
      </c>
      <c r="BA3" s="51"/>
      <c r="BB3" s="51"/>
      <c r="BC3" s="51"/>
      <c r="BD3" s="51"/>
      <c r="BE3" s="51" t="s">
        <v>223</v>
      </c>
      <c r="BF3" s="51" t="s">
        <v>223</v>
      </c>
      <c r="BG3" s="131" t="s">
        <v>425</v>
      </c>
      <c r="BH3" s="131" t="s">
        <v>425</v>
      </c>
      <c r="BI3" s="131" t="s">
        <v>430</v>
      </c>
      <c r="BJ3" s="131" t="s">
        <v>430</v>
      </c>
      <c r="BK3" s="131">
        <v>2</v>
      </c>
      <c r="BL3" s="134">
        <v>5.882352941176471</v>
      </c>
      <c r="BM3" s="131">
        <v>0</v>
      </c>
      <c r="BN3" s="134">
        <v>0</v>
      </c>
      <c r="BO3" s="131">
        <v>0</v>
      </c>
      <c r="BP3" s="134">
        <v>0</v>
      </c>
      <c r="BQ3" s="131">
        <v>32</v>
      </c>
      <c r="BR3" s="134">
        <v>94.11764705882354</v>
      </c>
      <c r="BS3" s="131">
        <v>34</v>
      </c>
      <c r="BT3" s="3"/>
      <c r="BU3" s="3"/>
    </row>
    <row r="4" spans="1:76" ht="15">
      <c r="A4" s="14" t="s">
        <v>213</v>
      </c>
      <c r="B4" s="15"/>
      <c r="C4" s="15" t="s">
        <v>64</v>
      </c>
      <c r="D4" s="93">
        <v>309.7362962962963</v>
      </c>
      <c r="E4" s="81"/>
      <c r="F4" s="112" t="s">
        <v>226</v>
      </c>
      <c r="G4" s="15"/>
      <c r="H4" s="16" t="s">
        <v>213</v>
      </c>
      <c r="I4" s="66"/>
      <c r="J4" s="66"/>
      <c r="K4" s="114" t="s">
        <v>293</v>
      </c>
      <c r="L4" s="94">
        <v>1</v>
      </c>
      <c r="M4" s="95">
        <v>7939.4267578125</v>
      </c>
      <c r="N4" s="95">
        <v>2676.202880859375</v>
      </c>
      <c r="O4" s="77"/>
      <c r="P4" s="96"/>
      <c r="Q4" s="96"/>
      <c r="R4" s="97"/>
      <c r="S4" s="51">
        <v>0</v>
      </c>
      <c r="T4" s="51">
        <v>1</v>
      </c>
      <c r="U4" s="52">
        <v>0</v>
      </c>
      <c r="V4" s="52">
        <v>1</v>
      </c>
      <c r="W4" s="52">
        <v>0.381964</v>
      </c>
      <c r="X4" s="52">
        <v>0.701684</v>
      </c>
      <c r="Y4" s="52">
        <v>0</v>
      </c>
      <c r="Z4" s="52">
        <v>0</v>
      </c>
      <c r="AA4" s="82">
        <v>4</v>
      </c>
      <c r="AB4" s="82"/>
      <c r="AC4" s="98"/>
      <c r="AD4" s="85" t="s">
        <v>260</v>
      </c>
      <c r="AE4" s="85">
        <v>15</v>
      </c>
      <c r="AF4" s="85">
        <v>293</v>
      </c>
      <c r="AG4" s="85">
        <v>6807</v>
      </c>
      <c r="AH4" s="85">
        <v>576</v>
      </c>
      <c r="AI4" s="85"/>
      <c r="AJ4" s="85" t="s">
        <v>265</v>
      </c>
      <c r="AK4" s="85" t="s">
        <v>270</v>
      </c>
      <c r="AL4" s="85"/>
      <c r="AM4" s="85"/>
      <c r="AN4" s="87">
        <v>43050.58925925926</v>
      </c>
      <c r="AO4" s="90" t="s">
        <v>277</v>
      </c>
      <c r="AP4" s="85" t="b">
        <v>1</v>
      </c>
      <c r="AQ4" s="85" t="b">
        <v>0</v>
      </c>
      <c r="AR4" s="85" t="b">
        <v>0</v>
      </c>
      <c r="AS4" s="85" t="s">
        <v>235</v>
      </c>
      <c r="AT4" s="85">
        <v>1</v>
      </c>
      <c r="AU4" s="85"/>
      <c r="AV4" s="85" t="b">
        <v>0</v>
      </c>
      <c r="AW4" s="85" t="s">
        <v>286</v>
      </c>
      <c r="AX4" s="90" t="s">
        <v>288</v>
      </c>
      <c r="AY4" s="85" t="s">
        <v>66</v>
      </c>
      <c r="AZ4" s="85" t="str">
        <f>REPLACE(INDEX(GroupVertices[Group],MATCH(Vertices[[#This Row],[Vertex]],GroupVertices[Vertex],0)),1,1,"")</f>
        <v>2</v>
      </c>
      <c r="BA4" s="51"/>
      <c r="BB4" s="51"/>
      <c r="BC4" s="51"/>
      <c r="BD4" s="51"/>
      <c r="BE4" s="51"/>
      <c r="BF4" s="51"/>
      <c r="BG4" s="131" t="s">
        <v>426</v>
      </c>
      <c r="BH4" s="131" t="s">
        <v>426</v>
      </c>
      <c r="BI4" s="131" t="s">
        <v>431</v>
      </c>
      <c r="BJ4" s="131" t="s">
        <v>431</v>
      </c>
      <c r="BK4" s="131">
        <v>1</v>
      </c>
      <c r="BL4" s="134">
        <v>3.8461538461538463</v>
      </c>
      <c r="BM4" s="131">
        <v>0</v>
      </c>
      <c r="BN4" s="134">
        <v>0</v>
      </c>
      <c r="BO4" s="131">
        <v>0</v>
      </c>
      <c r="BP4" s="134">
        <v>0</v>
      </c>
      <c r="BQ4" s="131">
        <v>25</v>
      </c>
      <c r="BR4" s="134">
        <v>96.15384615384616</v>
      </c>
      <c r="BS4" s="131">
        <v>26</v>
      </c>
      <c r="BT4" s="2"/>
      <c r="BU4" s="3"/>
      <c r="BV4" s="3"/>
      <c r="BW4" s="3"/>
      <c r="BX4" s="3"/>
    </row>
    <row r="5" spans="1:76" ht="15">
      <c r="A5" s="14" t="s">
        <v>214</v>
      </c>
      <c r="B5" s="15"/>
      <c r="C5" s="15" t="s">
        <v>64</v>
      </c>
      <c r="D5" s="93">
        <v>162</v>
      </c>
      <c r="E5" s="81"/>
      <c r="F5" s="112" t="s">
        <v>227</v>
      </c>
      <c r="G5" s="15"/>
      <c r="H5" s="16" t="s">
        <v>214</v>
      </c>
      <c r="I5" s="66"/>
      <c r="J5" s="66"/>
      <c r="K5" s="114" t="s">
        <v>294</v>
      </c>
      <c r="L5" s="94">
        <v>9999</v>
      </c>
      <c r="M5" s="95">
        <v>1616.147705078125</v>
      </c>
      <c r="N5" s="95">
        <v>2676.202880859375</v>
      </c>
      <c r="O5" s="77"/>
      <c r="P5" s="96"/>
      <c r="Q5" s="96"/>
      <c r="R5" s="97"/>
      <c r="S5" s="51">
        <v>0</v>
      </c>
      <c r="T5" s="51">
        <v>2</v>
      </c>
      <c r="U5" s="52">
        <v>2</v>
      </c>
      <c r="V5" s="52">
        <v>0.5</v>
      </c>
      <c r="W5" s="52">
        <v>2E-06</v>
      </c>
      <c r="X5" s="52">
        <v>1.45931</v>
      </c>
      <c r="Y5" s="52">
        <v>0</v>
      </c>
      <c r="Z5" s="52">
        <v>0</v>
      </c>
      <c r="AA5" s="82">
        <v>5</v>
      </c>
      <c r="AB5" s="82"/>
      <c r="AC5" s="98"/>
      <c r="AD5" s="85" t="s">
        <v>261</v>
      </c>
      <c r="AE5" s="85">
        <v>85</v>
      </c>
      <c r="AF5" s="85">
        <v>55</v>
      </c>
      <c r="AG5" s="85">
        <v>326</v>
      </c>
      <c r="AH5" s="85">
        <v>262</v>
      </c>
      <c r="AI5" s="85"/>
      <c r="AJ5" s="85" t="s">
        <v>266</v>
      </c>
      <c r="AK5" s="85" t="s">
        <v>271</v>
      </c>
      <c r="AL5" s="85"/>
      <c r="AM5" s="85"/>
      <c r="AN5" s="87">
        <v>43140.029386574075</v>
      </c>
      <c r="AO5" s="90" t="s">
        <v>278</v>
      </c>
      <c r="AP5" s="85" t="b">
        <v>0</v>
      </c>
      <c r="AQ5" s="85" t="b">
        <v>0</v>
      </c>
      <c r="AR5" s="85" t="b">
        <v>0</v>
      </c>
      <c r="AS5" s="85" t="s">
        <v>235</v>
      </c>
      <c r="AT5" s="85">
        <v>0</v>
      </c>
      <c r="AU5" s="90" t="s">
        <v>281</v>
      </c>
      <c r="AV5" s="85" t="b">
        <v>0</v>
      </c>
      <c r="AW5" s="85" t="s">
        <v>286</v>
      </c>
      <c r="AX5" s="90" t="s">
        <v>289</v>
      </c>
      <c r="AY5" s="85" t="s">
        <v>66</v>
      </c>
      <c r="AZ5" s="85" t="str">
        <f>REPLACE(INDEX(GroupVertices[Group],MATCH(Vertices[[#This Row],[Vertex]],GroupVertices[Vertex],0)),1,1,"")</f>
        <v>1</v>
      </c>
      <c r="BA5" s="51" t="s">
        <v>221</v>
      </c>
      <c r="BB5" s="51" t="s">
        <v>221</v>
      </c>
      <c r="BC5" s="51" t="s">
        <v>222</v>
      </c>
      <c r="BD5" s="51" t="s">
        <v>222</v>
      </c>
      <c r="BE5" s="51" t="s">
        <v>224</v>
      </c>
      <c r="BF5" s="51" t="s">
        <v>224</v>
      </c>
      <c r="BG5" s="131" t="s">
        <v>427</v>
      </c>
      <c r="BH5" s="131" t="s">
        <v>427</v>
      </c>
      <c r="BI5" s="131" t="s">
        <v>432</v>
      </c>
      <c r="BJ5" s="131" t="s">
        <v>432</v>
      </c>
      <c r="BK5" s="131">
        <v>0</v>
      </c>
      <c r="BL5" s="134">
        <v>0</v>
      </c>
      <c r="BM5" s="131">
        <v>2</v>
      </c>
      <c r="BN5" s="134">
        <v>7.407407407407407</v>
      </c>
      <c r="BO5" s="131">
        <v>0</v>
      </c>
      <c r="BP5" s="134">
        <v>0</v>
      </c>
      <c r="BQ5" s="131">
        <v>25</v>
      </c>
      <c r="BR5" s="134">
        <v>92.5925925925926</v>
      </c>
      <c r="BS5" s="131">
        <v>27</v>
      </c>
      <c r="BT5" s="2"/>
      <c r="BU5" s="3"/>
      <c r="BV5" s="3"/>
      <c r="BW5" s="3"/>
      <c r="BX5" s="3"/>
    </row>
    <row r="6" spans="1:76" ht="15">
      <c r="A6" s="14" t="s">
        <v>215</v>
      </c>
      <c r="B6" s="15"/>
      <c r="C6" s="15" t="s">
        <v>64</v>
      </c>
      <c r="D6" s="93">
        <v>1000</v>
      </c>
      <c r="E6" s="81"/>
      <c r="F6" s="112" t="s">
        <v>284</v>
      </c>
      <c r="G6" s="15"/>
      <c r="H6" s="16" t="s">
        <v>215</v>
      </c>
      <c r="I6" s="66"/>
      <c r="J6" s="66"/>
      <c r="K6" s="114" t="s">
        <v>295</v>
      </c>
      <c r="L6" s="94">
        <v>1</v>
      </c>
      <c r="M6" s="95">
        <v>1616.147705078125</v>
      </c>
      <c r="N6" s="95">
        <v>7322.796875</v>
      </c>
      <c r="O6" s="77"/>
      <c r="P6" s="96"/>
      <c r="Q6" s="96"/>
      <c r="R6" s="97"/>
      <c r="S6" s="51">
        <v>1</v>
      </c>
      <c r="T6" s="51">
        <v>0</v>
      </c>
      <c r="U6" s="52">
        <v>0</v>
      </c>
      <c r="V6" s="52">
        <v>0.333333</v>
      </c>
      <c r="W6" s="52">
        <v>1E-06</v>
      </c>
      <c r="X6" s="52">
        <v>0.770188</v>
      </c>
      <c r="Y6" s="52">
        <v>0</v>
      </c>
      <c r="Z6" s="52">
        <v>0</v>
      </c>
      <c r="AA6" s="82">
        <v>6</v>
      </c>
      <c r="AB6" s="82"/>
      <c r="AC6" s="98"/>
      <c r="AD6" s="85" t="s">
        <v>262</v>
      </c>
      <c r="AE6" s="85">
        <v>555</v>
      </c>
      <c r="AF6" s="85">
        <v>1757105</v>
      </c>
      <c r="AG6" s="85">
        <v>455827</v>
      </c>
      <c r="AH6" s="85">
        <v>865</v>
      </c>
      <c r="AI6" s="85"/>
      <c r="AJ6" s="85" t="s">
        <v>267</v>
      </c>
      <c r="AK6" s="85" t="s">
        <v>272</v>
      </c>
      <c r="AL6" s="90" t="s">
        <v>275</v>
      </c>
      <c r="AM6" s="85"/>
      <c r="AN6" s="87">
        <v>39333.03246527778</v>
      </c>
      <c r="AO6" s="90" t="s">
        <v>279</v>
      </c>
      <c r="AP6" s="85" t="b">
        <v>0</v>
      </c>
      <c r="AQ6" s="85" t="b">
        <v>0</v>
      </c>
      <c r="AR6" s="85" t="b">
        <v>1</v>
      </c>
      <c r="AS6" s="85" t="s">
        <v>235</v>
      </c>
      <c r="AT6" s="85">
        <v>14217</v>
      </c>
      <c r="AU6" s="90" t="s">
        <v>281</v>
      </c>
      <c r="AV6" s="85" t="b">
        <v>1</v>
      </c>
      <c r="AW6" s="85" t="s">
        <v>286</v>
      </c>
      <c r="AX6" s="90" t="s">
        <v>290</v>
      </c>
      <c r="AY6" s="85" t="s">
        <v>65</v>
      </c>
      <c r="AZ6" s="85" t="str">
        <f>REPLACE(INDEX(GroupVertices[Group],MATCH(Vertices[[#This Row],[Vertex]],GroupVertices[Vertex],0)),1,1,"")</f>
        <v>1</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99" t="s">
        <v>216</v>
      </c>
      <c r="B7" s="100"/>
      <c r="C7" s="100" t="s">
        <v>64</v>
      </c>
      <c r="D7" s="101">
        <v>362.49925925925925</v>
      </c>
      <c r="E7" s="102"/>
      <c r="F7" s="113" t="s">
        <v>285</v>
      </c>
      <c r="G7" s="100"/>
      <c r="H7" s="103" t="s">
        <v>216</v>
      </c>
      <c r="I7" s="104"/>
      <c r="J7" s="104"/>
      <c r="K7" s="115" t="s">
        <v>296</v>
      </c>
      <c r="L7" s="105">
        <v>1</v>
      </c>
      <c r="M7" s="106">
        <v>4458.61865234375</v>
      </c>
      <c r="N7" s="106">
        <v>7322.796875</v>
      </c>
      <c r="O7" s="107"/>
      <c r="P7" s="108"/>
      <c r="Q7" s="108"/>
      <c r="R7" s="109"/>
      <c r="S7" s="51">
        <v>1</v>
      </c>
      <c r="T7" s="51">
        <v>0</v>
      </c>
      <c r="U7" s="52">
        <v>0</v>
      </c>
      <c r="V7" s="52">
        <v>0.333333</v>
      </c>
      <c r="W7" s="52">
        <v>1E-06</v>
      </c>
      <c r="X7" s="52">
        <v>0.770188</v>
      </c>
      <c r="Y7" s="52">
        <v>0</v>
      </c>
      <c r="Z7" s="52">
        <v>0</v>
      </c>
      <c r="AA7" s="110">
        <v>7</v>
      </c>
      <c r="AB7" s="110"/>
      <c r="AC7" s="111"/>
      <c r="AD7" s="85" t="s">
        <v>263</v>
      </c>
      <c r="AE7" s="85">
        <v>2099</v>
      </c>
      <c r="AF7" s="85">
        <v>378</v>
      </c>
      <c r="AG7" s="85">
        <v>580</v>
      </c>
      <c r="AH7" s="85">
        <v>1369</v>
      </c>
      <c r="AI7" s="85"/>
      <c r="AJ7" s="85" t="s">
        <v>268</v>
      </c>
      <c r="AK7" s="85" t="s">
        <v>273</v>
      </c>
      <c r="AL7" s="85"/>
      <c r="AM7" s="85"/>
      <c r="AN7" s="87">
        <v>39225.86509259259</v>
      </c>
      <c r="AO7" s="90" t="s">
        <v>280</v>
      </c>
      <c r="AP7" s="85" t="b">
        <v>0</v>
      </c>
      <c r="AQ7" s="85" t="b">
        <v>0</v>
      </c>
      <c r="AR7" s="85" t="b">
        <v>1</v>
      </c>
      <c r="AS7" s="85" t="s">
        <v>235</v>
      </c>
      <c r="AT7" s="85">
        <v>4</v>
      </c>
      <c r="AU7" s="90" t="s">
        <v>282</v>
      </c>
      <c r="AV7" s="85" t="b">
        <v>0</v>
      </c>
      <c r="AW7" s="85" t="s">
        <v>286</v>
      </c>
      <c r="AX7" s="90" t="s">
        <v>291</v>
      </c>
      <c r="AY7" s="85" t="s">
        <v>65</v>
      </c>
      <c r="AZ7" s="85" t="str">
        <f>REPLACE(INDEX(GroupVertices[Group],MATCH(Vertices[[#This Row],[Vertex]],GroupVertices[Vertex],0)),1,1,"")</f>
        <v>1</v>
      </c>
      <c r="BA7" s="51"/>
      <c r="BB7" s="51"/>
      <c r="BC7" s="51"/>
      <c r="BD7" s="51"/>
      <c r="BE7" s="51"/>
      <c r="BF7" s="51"/>
      <c r="BG7" s="51"/>
      <c r="BH7" s="51"/>
      <c r="BI7" s="51"/>
      <c r="BJ7" s="51"/>
      <c r="BK7" s="51"/>
      <c r="BL7" s="52"/>
      <c r="BM7" s="51"/>
      <c r="BN7" s="52"/>
      <c r="BO7" s="51"/>
      <c r="BP7" s="52"/>
      <c r="BQ7" s="51"/>
      <c r="BR7" s="52"/>
      <c r="BS7" s="51"/>
      <c r="BT7" s="2"/>
      <c r="BU7" s="3"/>
      <c r="BV7" s="3"/>
      <c r="BW7" s="3"/>
      <c r="BX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
    <dataValidation allowBlank="1" showInputMessage="1" promptTitle="Vertex Tooltip" prompt="Enter optional text that will pop up when the mouse is hovered over the vertex." errorTitle="Invalid Vertex Image Key" sqref="K3:K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
    <dataValidation allowBlank="1" showInputMessage="1" promptTitle="Vertex Label Fill Color" prompt="To select an optional fill color for the Label shape, right-click and select Select Color on the right-click menu." sqref="I3:I7"/>
    <dataValidation allowBlank="1" showInputMessage="1" promptTitle="Vertex Image File" prompt="Enter the path to an image file.  Hover over the column header for examples." errorTitle="Invalid Vertex Image Key" sqref="F3:F7"/>
    <dataValidation allowBlank="1" showInputMessage="1" promptTitle="Vertex Color" prompt="To select an optional vertex color, right-click and select Select Color on the right-click menu." sqref="B3:B7"/>
    <dataValidation allowBlank="1" showInputMessage="1" promptTitle="Vertex Opacity" prompt="Enter an optional vertex opacity between 0 (transparent) and 100 (opaque)." errorTitle="Invalid Vertex Opacity" error="The optional vertex opacity must be a whole number between 0 and 10." sqref="E3:E7"/>
    <dataValidation type="list" allowBlank="1" showInputMessage="1" showErrorMessage="1" promptTitle="Vertex Shape" prompt="Select an optional vertex shape." errorTitle="Invalid Vertex Shape" error="You have entered an invalid vertex shape.  Try selecting from the drop-down list instead." sqref="C3:C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
      <formula1>ValidVertexLabelPositions</formula1>
    </dataValidation>
    <dataValidation allowBlank="1" showInputMessage="1" showErrorMessage="1" promptTitle="Vertex Name" prompt="Enter the name of the vertex." sqref="A3:A7"/>
  </dataValidations>
  <hyperlinks>
    <hyperlink ref="AL3" r:id="rId1" display="https://t.co/k4vWsJLyij"/>
    <hyperlink ref="AL6" r:id="rId2" display="http://www.globeandmail.com/"/>
    <hyperlink ref="AO3" r:id="rId3" display="https://pbs.twimg.com/profile_banners/258947008/1517748410"/>
    <hyperlink ref="AO4" r:id="rId4" display="https://pbs.twimg.com/profile_banners/929350131496910849/1552556895"/>
    <hyperlink ref="AO5" r:id="rId5" display="https://pbs.twimg.com/profile_banners/961762146660028423/1518299017"/>
    <hyperlink ref="AO6" r:id="rId6" display="https://pbs.twimg.com/profile_banners/8736882/1541533707"/>
    <hyperlink ref="AO7" r:id="rId7" display="https://pbs.twimg.com/profile_banners/6271312/1388595764"/>
    <hyperlink ref="AU3" r:id="rId8" display="http://abs.twimg.com/images/themes/theme1/bg.png"/>
    <hyperlink ref="AU5" r:id="rId9" display="http://abs.twimg.com/images/themes/theme1/bg.png"/>
    <hyperlink ref="AU6" r:id="rId10" display="http://abs.twimg.com/images/themes/theme1/bg.png"/>
    <hyperlink ref="AU7" r:id="rId11" display="http://abs.twimg.com/images/themes/theme2/bg.gif"/>
    <hyperlink ref="F3" r:id="rId12" display="http://pbs.twimg.com/profile_images/922229151607570432/gnqCbU2W_normal.jpg"/>
    <hyperlink ref="F4" r:id="rId13" display="http://pbs.twimg.com/profile_images/1091700592676868097/PMqgqEJb_normal.jpg"/>
    <hyperlink ref="F5" r:id="rId14" display="http://pbs.twimg.com/profile_images/961807013922656256/iKOmXK4g_normal.jpg"/>
    <hyperlink ref="F6" r:id="rId15" display="http://pbs.twimg.com/profile_images/742385672682512384/VfTAuqLg_normal.jpg"/>
    <hyperlink ref="F7" r:id="rId16" display="http://pbs.twimg.com/profile_images/424673833136959489/fwohUkvo_normal.jpeg"/>
    <hyperlink ref="AX3" r:id="rId17" display="https://twitter.com/pandittushar"/>
    <hyperlink ref="AX4" r:id="rId18" display="https://twitter.com/yqgudiya_"/>
    <hyperlink ref="AX5" r:id="rId19" display="https://twitter.com/fallah_rad"/>
    <hyperlink ref="AX6" r:id="rId20" display="https://twitter.com/globeandmail"/>
    <hyperlink ref="AX7" r:id="rId21" display="https://twitter.com/pmcc"/>
  </hyperlinks>
  <printOptions/>
  <pageMargins left="0.7" right="0.7" top="0.75" bottom="0.75" header="0.3" footer="0.3"/>
  <pageSetup horizontalDpi="600" verticalDpi="600" orientation="portrait" r:id="rId25"/>
  <legacyDrawing r:id="rId23"/>
  <tableParts>
    <tablePart r:id="rId2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357</v>
      </c>
      <c r="Z2" s="13" t="s">
        <v>361</v>
      </c>
      <c r="AA2" s="13" t="s">
        <v>368</v>
      </c>
      <c r="AB2" s="13" t="s">
        <v>388</v>
      </c>
      <c r="AC2" s="13" t="s">
        <v>401</v>
      </c>
      <c r="AD2" s="13" t="s">
        <v>409</v>
      </c>
      <c r="AE2" s="13" t="s">
        <v>410</v>
      </c>
      <c r="AF2" s="13" t="s">
        <v>415</v>
      </c>
      <c r="AG2" s="67" t="s">
        <v>450</v>
      </c>
      <c r="AH2" s="67" t="s">
        <v>451</v>
      </c>
      <c r="AI2" s="67" t="s">
        <v>452</v>
      </c>
      <c r="AJ2" s="67" t="s">
        <v>453</v>
      </c>
      <c r="AK2" s="67" t="s">
        <v>454</v>
      </c>
      <c r="AL2" s="67" t="s">
        <v>455</v>
      </c>
      <c r="AM2" s="67" t="s">
        <v>456</v>
      </c>
      <c r="AN2" s="67" t="s">
        <v>457</v>
      </c>
      <c r="AO2" s="67" t="s">
        <v>460</v>
      </c>
    </row>
    <row r="3" spans="1:41" ht="15">
      <c r="A3" s="125" t="s">
        <v>336</v>
      </c>
      <c r="B3" s="126" t="s">
        <v>338</v>
      </c>
      <c r="C3" s="126" t="s">
        <v>56</v>
      </c>
      <c r="D3" s="117"/>
      <c r="E3" s="116"/>
      <c r="F3" s="118" t="s">
        <v>466</v>
      </c>
      <c r="G3" s="119"/>
      <c r="H3" s="119"/>
      <c r="I3" s="120">
        <v>3</v>
      </c>
      <c r="J3" s="121"/>
      <c r="K3" s="51">
        <v>3</v>
      </c>
      <c r="L3" s="51">
        <v>2</v>
      </c>
      <c r="M3" s="51">
        <v>0</v>
      </c>
      <c r="N3" s="51">
        <v>2</v>
      </c>
      <c r="O3" s="51">
        <v>0</v>
      </c>
      <c r="P3" s="52">
        <v>0</v>
      </c>
      <c r="Q3" s="52">
        <v>0</v>
      </c>
      <c r="R3" s="51">
        <v>1</v>
      </c>
      <c r="S3" s="51">
        <v>0</v>
      </c>
      <c r="T3" s="51">
        <v>3</v>
      </c>
      <c r="U3" s="51">
        <v>2</v>
      </c>
      <c r="V3" s="51">
        <v>2</v>
      </c>
      <c r="W3" s="52">
        <v>0.888889</v>
      </c>
      <c r="X3" s="52">
        <v>0.3333333333333333</v>
      </c>
      <c r="Y3" s="85" t="s">
        <v>221</v>
      </c>
      <c r="Z3" s="85" t="s">
        <v>222</v>
      </c>
      <c r="AA3" s="85" t="s">
        <v>224</v>
      </c>
      <c r="AB3" s="91" t="s">
        <v>389</v>
      </c>
      <c r="AC3" s="91" t="s">
        <v>234</v>
      </c>
      <c r="AD3" s="91"/>
      <c r="AE3" s="91" t="s">
        <v>411</v>
      </c>
      <c r="AF3" s="91" t="s">
        <v>416</v>
      </c>
      <c r="AG3" s="131">
        <v>0</v>
      </c>
      <c r="AH3" s="134">
        <v>0</v>
      </c>
      <c r="AI3" s="131">
        <v>2</v>
      </c>
      <c r="AJ3" s="134">
        <v>7.407407407407407</v>
      </c>
      <c r="AK3" s="131">
        <v>0</v>
      </c>
      <c r="AL3" s="134">
        <v>0</v>
      </c>
      <c r="AM3" s="131">
        <v>25</v>
      </c>
      <c r="AN3" s="134">
        <v>92.5925925925926</v>
      </c>
      <c r="AO3" s="131">
        <v>27</v>
      </c>
    </row>
    <row r="4" spans="1:41" ht="15">
      <c r="A4" s="125" t="s">
        <v>337</v>
      </c>
      <c r="B4" s="126" t="s">
        <v>339</v>
      </c>
      <c r="C4" s="126" t="s">
        <v>56</v>
      </c>
      <c r="D4" s="122"/>
      <c r="E4" s="100"/>
      <c r="F4" s="103" t="s">
        <v>467</v>
      </c>
      <c r="G4" s="107"/>
      <c r="H4" s="107"/>
      <c r="I4" s="123">
        <v>4</v>
      </c>
      <c r="J4" s="110"/>
      <c r="K4" s="51">
        <v>2</v>
      </c>
      <c r="L4" s="51">
        <v>2</v>
      </c>
      <c r="M4" s="51">
        <v>0</v>
      </c>
      <c r="N4" s="51">
        <v>2</v>
      </c>
      <c r="O4" s="51">
        <v>1</v>
      </c>
      <c r="P4" s="52">
        <v>0</v>
      </c>
      <c r="Q4" s="52">
        <v>0</v>
      </c>
      <c r="R4" s="51">
        <v>1</v>
      </c>
      <c r="S4" s="51">
        <v>0</v>
      </c>
      <c r="T4" s="51">
        <v>2</v>
      </c>
      <c r="U4" s="51">
        <v>2</v>
      </c>
      <c r="V4" s="51">
        <v>1</v>
      </c>
      <c r="W4" s="52">
        <v>0.5</v>
      </c>
      <c r="X4" s="52">
        <v>0.5</v>
      </c>
      <c r="Y4" s="85"/>
      <c r="Z4" s="85"/>
      <c r="AA4" s="85" t="s">
        <v>223</v>
      </c>
      <c r="AB4" s="91" t="s">
        <v>390</v>
      </c>
      <c r="AC4" s="91" t="s">
        <v>402</v>
      </c>
      <c r="AD4" s="91"/>
      <c r="AE4" s="91" t="s">
        <v>212</v>
      </c>
      <c r="AF4" s="91" t="s">
        <v>417</v>
      </c>
      <c r="AG4" s="131">
        <v>3</v>
      </c>
      <c r="AH4" s="134">
        <v>5</v>
      </c>
      <c r="AI4" s="131">
        <v>0</v>
      </c>
      <c r="AJ4" s="134">
        <v>0</v>
      </c>
      <c r="AK4" s="131">
        <v>0</v>
      </c>
      <c r="AL4" s="134">
        <v>0</v>
      </c>
      <c r="AM4" s="131">
        <v>57</v>
      </c>
      <c r="AN4" s="134">
        <v>95</v>
      </c>
      <c r="AO4" s="131">
        <v>60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336</v>
      </c>
      <c r="B2" s="91" t="s">
        <v>214</v>
      </c>
      <c r="C2" s="85">
        <f>VLOOKUP(GroupVertices[[#This Row],[Vertex]],Vertices[],MATCH("ID",Vertices[[#Headers],[Vertex]:[Vertex Content Word Count]],0),FALSE)</f>
        <v>5</v>
      </c>
    </row>
    <row r="3" spans="1:3" ht="15">
      <c r="A3" s="85" t="s">
        <v>336</v>
      </c>
      <c r="B3" s="91" t="s">
        <v>216</v>
      </c>
      <c r="C3" s="85">
        <f>VLOOKUP(GroupVertices[[#This Row],[Vertex]],Vertices[],MATCH("ID",Vertices[[#Headers],[Vertex]:[Vertex Content Word Count]],0),FALSE)</f>
        <v>7</v>
      </c>
    </row>
    <row r="4" spans="1:3" ht="15">
      <c r="A4" s="85" t="s">
        <v>336</v>
      </c>
      <c r="B4" s="91" t="s">
        <v>215</v>
      </c>
      <c r="C4" s="85">
        <f>VLOOKUP(GroupVertices[[#This Row],[Vertex]],Vertices[],MATCH("ID",Vertices[[#Headers],[Vertex]:[Vertex Content Word Count]],0),FALSE)</f>
        <v>6</v>
      </c>
    </row>
    <row r="5" spans="1:3" ht="15">
      <c r="A5" s="85" t="s">
        <v>337</v>
      </c>
      <c r="B5" s="91" t="s">
        <v>213</v>
      </c>
      <c r="C5" s="85">
        <f>VLOOKUP(GroupVertices[[#This Row],[Vertex]],Vertices[],MATCH("ID",Vertices[[#Headers],[Vertex]:[Vertex Content Word Count]],0),FALSE)</f>
        <v>4</v>
      </c>
    </row>
    <row r="6" spans="1:3" ht="15">
      <c r="A6" s="85" t="s">
        <v>337</v>
      </c>
      <c r="B6" s="91" t="s">
        <v>212</v>
      </c>
      <c r="C6" s="85">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346</v>
      </c>
      <c r="B2" s="36" t="s">
        <v>297</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4</v>
      </c>
      <c r="L2" s="39">
        <f>MIN(Vertices[Closeness Centrality])</f>
        <v>0.333333</v>
      </c>
      <c r="M2" s="40">
        <f>COUNTIF(Vertices[Closeness Centrality],"&gt;= "&amp;L2)-COUNTIF(Vertices[Closeness Centrality],"&gt;="&amp;L3)</f>
        <v>2</v>
      </c>
      <c r="N2" s="39">
        <f>MIN(Vertices[Eigenvector Centrality])</f>
        <v>1E-06</v>
      </c>
      <c r="O2" s="40">
        <f>COUNTIF(Vertices[Eigenvector Centrality],"&gt;= "&amp;N2)-COUNTIF(Vertices[Eigenvector Centrality],"&gt;="&amp;N3)</f>
        <v>3</v>
      </c>
      <c r="P2" s="39">
        <f>MIN(Vertices[PageRank])</f>
        <v>0.701684</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0.03636363636363636</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0.03636363636363636</v>
      </c>
      <c r="K3" s="42">
        <f>COUNTIF(Vertices[Betweenness Centrality],"&gt;= "&amp;J3)-COUNTIF(Vertices[Betweenness Centrality],"&gt;="&amp;J4)</f>
        <v>0</v>
      </c>
      <c r="L3" s="41">
        <f aca="true" t="shared" si="5" ref="L3:L26">L2+($L$57-$L$2)/BinDivisor</f>
        <v>0.34545421818181815</v>
      </c>
      <c r="M3" s="42">
        <f>COUNTIF(Vertices[Closeness Centrality],"&gt;= "&amp;L3)-COUNTIF(Vertices[Closeness Centrality],"&gt;="&amp;L4)</f>
        <v>0</v>
      </c>
      <c r="N3" s="41">
        <f aca="true" t="shared" si="6" ref="N3:N26">N2+($N$57-$N$2)/BinDivisor</f>
        <v>0.01123790909090909</v>
      </c>
      <c r="O3" s="42">
        <f>COUNTIF(Vertices[Eigenvector Centrality],"&gt;= "&amp;N3)-COUNTIF(Vertices[Eigenvector Centrality],"&gt;="&amp;N4)</f>
        <v>0</v>
      </c>
      <c r="P3" s="41">
        <f aca="true" t="shared" si="7" ref="P3:P26">P2+($P$57-$P$2)/BinDivisor</f>
        <v>0.7154590181818181</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5</v>
      </c>
      <c r="D4" s="34">
        <f t="shared" si="1"/>
        <v>0</v>
      </c>
      <c r="E4" s="3">
        <f>COUNTIF(Vertices[Degree],"&gt;= "&amp;D4)-COUNTIF(Vertices[Degree],"&gt;="&amp;D5)</f>
        <v>0</v>
      </c>
      <c r="F4" s="39">
        <f t="shared" si="2"/>
        <v>0.07272727272727272</v>
      </c>
      <c r="G4" s="40">
        <f>COUNTIF(Vertices[In-Degree],"&gt;= "&amp;F4)-COUNTIF(Vertices[In-Degree],"&gt;="&amp;F5)</f>
        <v>0</v>
      </c>
      <c r="H4" s="39">
        <f t="shared" si="3"/>
        <v>0.07272727272727272</v>
      </c>
      <c r="I4" s="40">
        <f>COUNTIF(Vertices[Out-Degree],"&gt;= "&amp;H4)-COUNTIF(Vertices[Out-Degree],"&gt;="&amp;H5)</f>
        <v>0</v>
      </c>
      <c r="J4" s="39">
        <f t="shared" si="4"/>
        <v>0.07272727272727272</v>
      </c>
      <c r="K4" s="40">
        <f>COUNTIF(Vertices[Betweenness Centrality],"&gt;= "&amp;J4)-COUNTIF(Vertices[Betweenness Centrality],"&gt;="&amp;J5)</f>
        <v>0</v>
      </c>
      <c r="L4" s="39">
        <f t="shared" si="5"/>
        <v>0.3575754363636363</v>
      </c>
      <c r="M4" s="40">
        <f>COUNTIF(Vertices[Closeness Centrality],"&gt;= "&amp;L4)-COUNTIF(Vertices[Closeness Centrality],"&gt;="&amp;L5)</f>
        <v>0</v>
      </c>
      <c r="N4" s="39">
        <f t="shared" si="6"/>
        <v>0.02247481818181818</v>
      </c>
      <c r="O4" s="40">
        <f>COUNTIF(Vertices[Eigenvector Centrality],"&gt;= "&amp;N4)-COUNTIF(Vertices[Eigenvector Centrality],"&gt;="&amp;N5)</f>
        <v>0</v>
      </c>
      <c r="P4" s="39">
        <f t="shared" si="7"/>
        <v>0.7292340363636363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0.10909090909090909</v>
      </c>
      <c r="G5" s="42">
        <f>COUNTIF(Vertices[In-Degree],"&gt;= "&amp;F5)-COUNTIF(Vertices[In-Degree],"&gt;="&amp;F6)</f>
        <v>0</v>
      </c>
      <c r="H5" s="41">
        <f t="shared" si="3"/>
        <v>0.10909090909090909</v>
      </c>
      <c r="I5" s="42">
        <f>COUNTIF(Vertices[Out-Degree],"&gt;= "&amp;H5)-COUNTIF(Vertices[Out-Degree],"&gt;="&amp;H6)</f>
        <v>0</v>
      </c>
      <c r="J5" s="41">
        <f t="shared" si="4"/>
        <v>0.10909090909090909</v>
      </c>
      <c r="K5" s="42">
        <f>COUNTIF(Vertices[Betweenness Centrality],"&gt;= "&amp;J5)-COUNTIF(Vertices[Betweenness Centrality],"&gt;="&amp;J6)</f>
        <v>0</v>
      </c>
      <c r="L5" s="41">
        <f t="shared" si="5"/>
        <v>0.3696966545454545</v>
      </c>
      <c r="M5" s="42">
        <f>COUNTIF(Vertices[Closeness Centrality],"&gt;= "&amp;L5)-COUNTIF(Vertices[Closeness Centrality],"&gt;="&amp;L6)</f>
        <v>0</v>
      </c>
      <c r="N5" s="41">
        <f t="shared" si="6"/>
        <v>0.03371172727272727</v>
      </c>
      <c r="O5" s="42">
        <f>COUNTIF(Vertices[Eigenvector Centrality],"&gt;= "&amp;N5)-COUNTIF(Vertices[Eigenvector Centrality],"&gt;="&amp;N6)</f>
        <v>0</v>
      </c>
      <c r="P5" s="41">
        <f t="shared" si="7"/>
        <v>0.7430090545454544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0.14545454545454545</v>
      </c>
      <c r="G6" s="40">
        <f>COUNTIF(Vertices[In-Degree],"&gt;= "&amp;F6)-COUNTIF(Vertices[In-Degree],"&gt;="&amp;F7)</f>
        <v>0</v>
      </c>
      <c r="H6" s="39">
        <f t="shared" si="3"/>
        <v>0.14545454545454545</v>
      </c>
      <c r="I6" s="40">
        <f>COUNTIF(Vertices[Out-Degree],"&gt;= "&amp;H6)-COUNTIF(Vertices[Out-Degree],"&gt;="&amp;H7)</f>
        <v>0</v>
      </c>
      <c r="J6" s="39">
        <f t="shared" si="4"/>
        <v>0.14545454545454545</v>
      </c>
      <c r="K6" s="40">
        <f>COUNTIF(Vertices[Betweenness Centrality],"&gt;= "&amp;J6)-COUNTIF(Vertices[Betweenness Centrality],"&gt;="&amp;J7)</f>
        <v>0</v>
      </c>
      <c r="L6" s="39">
        <f t="shared" si="5"/>
        <v>0.38181787272727263</v>
      </c>
      <c r="M6" s="40">
        <f>COUNTIF(Vertices[Closeness Centrality],"&gt;= "&amp;L6)-COUNTIF(Vertices[Closeness Centrality],"&gt;="&amp;L7)</f>
        <v>0</v>
      </c>
      <c r="N6" s="39">
        <f t="shared" si="6"/>
        <v>0.04494863636363636</v>
      </c>
      <c r="O6" s="40">
        <f>COUNTIF(Vertices[Eigenvector Centrality],"&gt;= "&amp;N6)-COUNTIF(Vertices[Eigenvector Centrality],"&gt;="&amp;N7)</f>
        <v>0</v>
      </c>
      <c r="P6" s="39">
        <f t="shared" si="7"/>
        <v>0.7567840727272725</v>
      </c>
      <c r="Q6" s="40">
        <f>COUNTIF(Vertices[PageRank],"&gt;= "&amp;P6)-COUNTIF(Vertices[PageRank],"&gt;="&amp;P7)</f>
        <v>2</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0.18181818181818182</v>
      </c>
      <c r="G7" s="42">
        <f>COUNTIF(Vertices[In-Degree],"&gt;= "&amp;F7)-COUNTIF(Vertices[In-Degree],"&gt;="&amp;F8)</f>
        <v>0</v>
      </c>
      <c r="H7" s="41">
        <f t="shared" si="3"/>
        <v>0.18181818181818182</v>
      </c>
      <c r="I7" s="42">
        <f>COUNTIF(Vertices[Out-Degree],"&gt;= "&amp;H7)-COUNTIF(Vertices[Out-Degree],"&gt;="&amp;H8)</f>
        <v>0</v>
      </c>
      <c r="J7" s="41">
        <f t="shared" si="4"/>
        <v>0.18181818181818182</v>
      </c>
      <c r="K7" s="42">
        <f>COUNTIF(Vertices[Betweenness Centrality],"&gt;= "&amp;J7)-COUNTIF(Vertices[Betweenness Centrality],"&gt;="&amp;J8)</f>
        <v>0</v>
      </c>
      <c r="L7" s="41">
        <f t="shared" si="5"/>
        <v>0.3939390909090908</v>
      </c>
      <c r="M7" s="42">
        <f>COUNTIF(Vertices[Closeness Centrality],"&gt;= "&amp;L7)-COUNTIF(Vertices[Closeness Centrality],"&gt;="&amp;L8)</f>
        <v>0</v>
      </c>
      <c r="N7" s="41">
        <f t="shared" si="6"/>
        <v>0.056185545454545446</v>
      </c>
      <c r="O7" s="42">
        <f>COUNTIF(Vertices[Eigenvector Centrality],"&gt;= "&amp;N7)-COUNTIF(Vertices[Eigenvector Centrality],"&gt;="&amp;N8)</f>
        <v>0</v>
      </c>
      <c r="P7" s="41">
        <f t="shared" si="7"/>
        <v>0.7705590909090907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v>
      </c>
      <c r="D8" s="34">
        <f t="shared" si="1"/>
        <v>0</v>
      </c>
      <c r="E8" s="3">
        <f>COUNTIF(Vertices[Degree],"&gt;= "&amp;D8)-COUNTIF(Vertices[Degree],"&gt;="&amp;D9)</f>
        <v>0</v>
      </c>
      <c r="F8" s="39">
        <f t="shared" si="2"/>
        <v>0.2181818181818182</v>
      </c>
      <c r="G8" s="40">
        <f>COUNTIF(Vertices[In-Degree],"&gt;= "&amp;F8)-COUNTIF(Vertices[In-Degree],"&gt;="&amp;F9)</f>
        <v>0</v>
      </c>
      <c r="H8" s="39">
        <f t="shared" si="3"/>
        <v>0.2181818181818182</v>
      </c>
      <c r="I8" s="40">
        <f>COUNTIF(Vertices[Out-Degree],"&gt;= "&amp;H8)-COUNTIF(Vertices[Out-Degree],"&gt;="&amp;H9)</f>
        <v>0</v>
      </c>
      <c r="J8" s="39">
        <f t="shared" si="4"/>
        <v>0.2181818181818182</v>
      </c>
      <c r="K8" s="40">
        <f>COUNTIF(Vertices[Betweenness Centrality],"&gt;= "&amp;J8)-COUNTIF(Vertices[Betweenness Centrality],"&gt;="&amp;J9)</f>
        <v>0</v>
      </c>
      <c r="L8" s="39">
        <f t="shared" si="5"/>
        <v>0.40606030909090896</v>
      </c>
      <c r="M8" s="40">
        <f>COUNTIF(Vertices[Closeness Centrality],"&gt;= "&amp;L8)-COUNTIF(Vertices[Closeness Centrality],"&gt;="&amp;L9)</f>
        <v>0</v>
      </c>
      <c r="N8" s="39">
        <f t="shared" si="6"/>
        <v>0.06742245454545454</v>
      </c>
      <c r="O8" s="40">
        <f>COUNTIF(Vertices[Eigenvector Centrality],"&gt;= "&amp;N8)-COUNTIF(Vertices[Eigenvector Centrality],"&gt;="&amp;N9)</f>
        <v>0</v>
      </c>
      <c r="P8" s="39">
        <f t="shared" si="7"/>
        <v>0.7843341090909088</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0.2545454545454546</v>
      </c>
      <c r="G9" s="42">
        <f>COUNTIF(Vertices[In-Degree],"&gt;= "&amp;F9)-COUNTIF(Vertices[In-Degree],"&gt;="&amp;F10)</f>
        <v>0</v>
      </c>
      <c r="H9" s="41">
        <f t="shared" si="3"/>
        <v>0.2545454545454546</v>
      </c>
      <c r="I9" s="42">
        <f>COUNTIF(Vertices[Out-Degree],"&gt;= "&amp;H9)-COUNTIF(Vertices[Out-Degree],"&gt;="&amp;H10)</f>
        <v>0</v>
      </c>
      <c r="J9" s="41">
        <f t="shared" si="4"/>
        <v>0.2545454545454546</v>
      </c>
      <c r="K9" s="42">
        <f>COUNTIF(Vertices[Betweenness Centrality],"&gt;= "&amp;J9)-COUNTIF(Vertices[Betweenness Centrality],"&gt;="&amp;J10)</f>
        <v>0</v>
      </c>
      <c r="L9" s="41">
        <f t="shared" si="5"/>
        <v>0.4181815272727271</v>
      </c>
      <c r="M9" s="42">
        <f>COUNTIF(Vertices[Closeness Centrality],"&gt;= "&amp;L9)-COUNTIF(Vertices[Closeness Centrality],"&gt;="&amp;L10)</f>
        <v>0</v>
      </c>
      <c r="N9" s="41">
        <f t="shared" si="6"/>
        <v>0.07865936363636362</v>
      </c>
      <c r="O9" s="42">
        <f>COUNTIF(Vertices[Eigenvector Centrality],"&gt;= "&amp;N9)-COUNTIF(Vertices[Eigenvector Centrality],"&gt;="&amp;N10)</f>
        <v>0</v>
      </c>
      <c r="P9" s="41">
        <f t="shared" si="7"/>
        <v>0.798109127272727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347</v>
      </c>
      <c r="B10" s="36">
        <v>2</v>
      </c>
      <c r="D10" s="34">
        <f t="shared" si="1"/>
        <v>0</v>
      </c>
      <c r="E10" s="3">
        <f>COUNTIF(Vertices[Degree],"&gt;= "&amp;D10)-COUNTIF(Vertices[Degree],"&gt;="&amp;D11)</f>
        <v>0</v>
      </c>
      <c r="F10" s="39">
        <f t="shared" si="2"/>
        <v>0.29090909090909095</v>
      </c>
      <c r="G10" s="40">
        <f>COUNTIF(Vertices[In-Degree],"&gt;= "&amp;F10)-COUNTIF(Vertices[In-Degree],"&gt;="&amp;F11)</f>
        <v>0</v>
      </c>
      <c r="H10" s="39">
        <f t="shared" si="3"/>
        <v>0.29090909090909095</v>
      </c>
      <c r="I10" s="40">
        <f>COUNTIF(Vertices[Out-Degree],"&gt;= "&amp;H10)-COUNTIF(Vertices[Out-Degree],"&gt;="&amp;H11)</f>
        <v>0</v>
      </c>
      <c r="J10" s="39">
        <f t="shared" si="4"/>
        <v>0.29090909090909095</v>
      </c>
      <c r="K10" s="40">
        <f>COUNTIF(Vertices[Betweenness Centrality],"&gt;= "&amp;J10)-COUNTIF(Vertices[Betweenness Centrality],"&gt;="&amp;J11)</f>
        <v>0</v>
      </c>
      <c r="L10" s="39">
        <f t="shared" si="5"/>
        <v>0.4303027454545453</v>
      </c>
      <c r="M10" s="40">
        <f>COUNTIF(Vertices[Closeness Centrality],"&gt;= "&amp;L10)-COUNTIF(Vertices[Closeness Centrality],"&gt;="&amp;L11)</f>
        <v>0</v>
      </c>
      <c r="N10" s="39">
        <f t="shared" si="6"/>
        <v>0.08989627272727271</v>
      </c>
      <c r="O10" s="40">
        <f>COUNTIF(Vertices[Eigenvector Centrality],"&gt;= "&amp;N10)-COUNTIF(Vertices[Eigenvector Centrality],"&gt;="&amp;N11)</f>
        <v>0</v>
      </c>
      <c r="P10" s="39">
        <f t="shared" si="7"/>
        <v>0.8118841454545451</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0.3272727272727273</v>
      </c>
      <c r="G11" s="42">
        <f>COUNTIF(Vertices[In-Degree],"&gt;= "&amp;F11)-COUNTIF(Vertices[In-Degree],"&gt;="&amp;F12)</f>
        <v>0</v>
      </c>
      <c r="H11" s="41">
        <f t="shared" si="3"/>
        <v>0.3272727272727273</v>
      </c>
      <c r="I11" s="42">
        <f>COUNTIF(Vertices[Out-Degree],"&gt;= "&amp;H11)-COUNTIF(Vertices[Out-Degree],"&gt;="&amp;H12)</f>
        <v>0</v>
      </c>
      <c r="J11" s="41">
        <f t="shared" si="4"/>
        <v>0.3272727272727273</v>
      </c>
      <c r="K11" s="42">
        <f>COUNTIF(Vertices[Betweenness Centrality],"&gt;= "&amp;J11)-COUNTIF(Vertices[Betweenness Centrality],"&gt;="&amp;J12)</f>
        <v>0</v>
      </c>
      <c r="L11" s="41">
        <f t="shared" si="5"/>
        <v>0.44242396363636344</v>
      </c>
      <c r="M11" s="42">
        <f>COUNTIF(Vertices[Closeness Centrality],"&gt;= "&amp;L11)-COUNTIF(Vertices[Closeness Centrality],"&gt;="&amp;L12)</f>
        <v>0</v>
      </c>
      <c r="N11" s="41">
        <f t="shared" si="6"/>
        <v>0.1011331818181818</v>
      </c>
      <c r="O11" s="42">
        <f>COUNTIF(Vertices[Eigenvector Centrality],"&gt;= "&amp;N11)-COUNTIF(Vertices[Eigenvector Centrality],"&gt;="&amp;N12)</f>
        <v>0</v>
      </c>
      <c r="P11" s="41">
        <f t="shared" si="7"/>
        <v>0.8256591636363633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217</v>
      </c>
      <c r="B12" s="36">
        <v>3</v>
      </c>
      <c r="D12" s="34">
        <f t="shared" si="1"/>
        <v>0</v>
      </c>
      <c r="E12" s="3">
        <f>COUNTIF(Vertices[Degree],"&gt;= "&amp;D12)-COUNTIF(Vertices[Degree],"&gt;="&amp;D13)</f>
        <v>0</v>
      </c>
      <c r="F12" s="39">
        <f t="shared" si="2"/>
        <v>0.3636363636363637</v>
      </c>
      <c r="G12" s="40">
        <f>COUNTIF(Vertices[In-Degree],"&gt;= "&amp;F12)-COUNTIF(Vertices[In-Degree],"&gt;="&amp;F13)</f>
        <v>0</v>
      </c>
      <c r="H12" s="39">
        <f t="shared" si="3"/>
        <v>0.3636363636363637</v>
      </c>
      <c r="I12" s="40">
        <f>COUNTIF(Vertices[Out-Degree],"&gt;= "&amp;H12)-COUNTIF(Vertices[Out-Degree],"&gt;="&amp;H13)</f>
        <v>0</v>
      </c>
      <c r="J12" s="39">
        <f t="shared" si="4"/>
        <v>0.3636363636363637</v>
      </c>
      <c r="K12" s="40">
        <f>COUNTIF(Vertices[Betweenness Centrality],"&gt;= "&amp;J12)-COUNTIF(Vertices[Betweenness Centrality],"&gt;="&amp;J13)</f>
        <v>0</v>
      </c>
      <c r="L12" s="39">
        <f t="shared" si="5"/>
        <v>0.4545451818181816</v>
      </c>
      <c r="M12" s="40">
        <f>COUNTIF(Vertices[Closeness Centrality],"&gt;= "&amp;L12)-COUNTIF(Vertices[Closeness Centrality],"&gt;="&amp;L13)</f>
        <v>0</v>
      </c>
      <c r="N12" s="39">
        <f t="shared" si="6"/>
        <v>0.11237009090909089</v>
      </c>
      <c r="O12" s="40">
        <f>COUNTIF(Vertices[Eigenvector Centrality],"&gt;= "&amp;N12)-COUNTIF(Vertices[Eigenvector Centrality],"&gt;="&amp;N13)</f>
        <v>0</v>
      </c>
      <c r="P12" s="39">
        <f t="shared" si="7"/>
        <v>0.8394341818181814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1</v>
      </c>
      <c r="D13" s="34">
        <f t="shared" si="1"/>
        <v>0</v>
      </c>
      <c r="E13" s="3">
        <f>COUNTIF(Vertices[Degree],"&gt;= "&amp;D13)-COUNTIF(Vertices[Degree],"&gt;="&amp;D14)</f>
        <v>0</v>
      </c>
      <c r="F13" s="41">
        <f t="shared" si="2"/>
        <v>0.4000000000000001</v>
      </c>
      <c r="G13" s="42">
        <f>COUNTIF(Vertices[In-Degree],"&gt;= "&amp;F13)-COUNTIF(Vertices[In-Degree],"&gt;="&amp;F14)</f>
        <v>0</v>
      </c>
      <c r="H13" s="41">
        <f t="shared" si="3"/>
        <v>0.4000000000000001</v>
      </c>
      <c r="I13" s="42">
        <f>COUNTIF(Vertices[Out-Degree],"&gt;= "&amp;H13)-COUNTIF(Vertices[Out-Degree],"&gt;="&amp;H14)</f>
        <v>0</v>
      </c>
      <c r="J13" s="41">
        <f t="shared" si="4"/>
        <v>0.4000000000000001</v>
      </c>
      <c r="K13" s="42">
        <f>COUNTIF(Vertices[Betweenness Centrality],"&gt;= "&amp;J13)-COUNTIF(Vertices[Betweenness Centrality],"&gt;="&amp;J14)</f>
        <v>0</v>
      </c>
      <c r="L13" s="41">
        <f t="shared" si="5"/>
        <v>0.46666639999999976</v>
      </c>
      <c r="M13" s="42">
        <f>COUNTIF(Vertices[Closeness Centrality],"&gt;= "&amp;L13)-COUNTIF(Vertices[Closeness Centrality],"&gt;="&amp;L14)</f>
        <v>0</v>
      </c>
      <c r="N13" s="41">
        <f t="shared" si="6"/>
        <v>0.12360699999999998</v>
      </c>
      <c r="O13" s="42">
        <f>COUNTIF(Vertices[Eigenvector Centrality],"&gt;= "&amp;N13)-COUNTIF(Vertices[Eigenvector Centrality],"&gt;="&amp;N14)</f>
        <v>0</v>
      </c>
      <c r="P13" s="41">
        <f t="shared" si="7"/>
        <v>0.8532091999999996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9"/>
      <c r="B14" s="129"/>
      <c r="D14" s="34">
        <f t="shared" si="1"/>
        <v>0</v>
      </c>
      <c r="E14" s="3">
        <f>COUNTIF(Vertices[Degree],"&gt;= "&amp;D14)-COUNTIF(Vertices[Degree],"&gt;="&amp;D15)</f>
        <v>0</v>
      </c>
      <c r="F14" s="39">
        <f t="shared" si="2"/>
        <v>0.43636363636363645</v>
      </c>
      <c r="G14" s="40">
        <f>COUNTIF(Vertices[In-Degree],"&gt;= "&amp;F14)-COUNTIF(Vertices[In-Degree],"&gt;="&amp;F15)</f>
        <v>0</v>
      </c>
      <c r="H14" s="39">
        <f t="shared" si="3"/>
        <v>0.43636363636363645</v>
      </c>
      <c r="I14" s="40">
        <f>COUNTIF(Vertices[Out-Degree],"&gt;= "&amp;H14)-COUNTIF(Vertices[Out-Degree],"&gt;="&amp;H15)</f>
        <v>0</v>
      </c>
      <c r="J14" s="39">
        <f t="shared" si="4"/>
        <v>0.43636363636363645</v>
      </c>
      <c r="K14" s="40">
        <f>COUNTIF(Vertices[Betweenness Centrality],"&gt;= "&amp;J14)-COUNTIF(Vertices[Betweenness Centrality],"&gt;="&amp;J15)</f>
        <v>0</v>
      </c>
      <c r="L14" s="39">
        <f t="shared" si="5"/>
        <v>0.4787876181818179</v>
      </c>
      <c r="M14" s="40">
        <f>COUNTIF(Vertices[Closeness Centrality],"&gt;= "&amp;L14)-COUNTIF(Vertices[Closeness Centrality],"&gt;="&amp;L15)</f>
        <v>0</v>
      </c>
      <c r="N14" s="39">
        <f t="shared" si="6"/>
        <v>0.13484390909090907</v>
      </c>
      <c r="O14" s="40">
        <f>COUNTIF(Vertices[Eigenvector Centrality],"&gt;= "&amp;N14)-COUNTIF(Vertices[Eigenvector Centrality],"&gt;="&amp;N15)</f>
        <v>0</v>
      </c>
      <c r="P14" s="39">
        <f t="shared" si="7"/>
        <v>0.8669842181818177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1</v>
      </c>
      <c r="D15" s="34">
        <f t="shared" si="1"/>
        <v>0</v>
      </c>
      <c r="E15" s="3">
        <f>COUNTIF(Vertices[Degree],"&gt;= "&amp;D15)-COUNTIF(Vertices[Degree],"&gt;="&amp;D16)</f>
        <v>0</v>
      </c>
      <c r="F15" s="41">
        <f t="shared" si="2"/>
        <v>0.47272727272727283</v>
      </c>
      <c r="G15" s="42">
        <f>COUNTIF(Vertices[In-Degree],"&gt;= "&amp;F15)-COUNTIF(Vertices[In-Degree],"&gt;="&amp;F16)</f>
        <v>0</v>
      </c>
      <c r="H15" s="41">
        <f t="shared" si="3"/>
        <v>0.47272727272727283</v>
      </c>
      <c r="I15" s="42">
        <f>COUNTIF(Vertices[Out-Degree],"&gt;= "&amp;H15)-COUNTIF(Vertices[Out-Degree],"&gt;="&amp;H16)</f>
        <v>0</v>
      </c>
      <c r="J15" s="41">
        <f t="shared" si="4"/>
        <v>0.47272727272727283</v>
      </c>
      <c r="K15" s="42">
        <f>COUNTIF(Vertices[Betweenness Centrality],"&gt;= "&amp;J15)-COUNTIF(Vertices[Betweenness Centrality],"&gt;="&amp;J16)</f>
        <v>0</v>
      </c>
      <c r="L15" s="41">
        <f t="shared" si="5"/>
        <v>0.4909088363636361</v>
      </c>
      <c r="M15" s="42">
        <f>COUNTIF(Vertices[Closeness Centrality],"&gt;= "&amp;L15)-COUNTIF(Vertices[Closeness Centrality],"&gt;="&amp;L16)</f>
        <v>1</v>
      </c>
      <c r="N15" s="41">
        <f t="shared" si="6"/>
        <v>0.14608081818181817</v>
      </c>
      <c r="O15" s="42">
        <f>COUNTIF(Vertices[Eigenvector Centrality],"&gt;= "&amp;N15)-COUNTIF(Vertices[Eigenvector Centrality],"&gt;="&amp;N16)</f>
        <v>0</v>
      </c>
      <c r="P15" s="41">
        <f t="shared" si="7"/>
        <v>0.8807592363636358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0.5090909090909091</v>
      </c>
      <c r="G16" s="40">
        <f>COUNTIF(Vertices[In-Degree],"&gt;= "&amp;F16)-COUNTIF(Vertices[In-Degree],"&gt;="&amp;F17)</f>
        <v>0</v>
      </c>
      <c r="H16" s="39">
        <f t="shared" si="3"/>
        <v>0.5090909090909091</v>
      </c>
      <c r="I16" s="40">
        <f>COUNTIF(Vertices[Out-Degree],"&gt;= "&amp;H16)-COUNTIF(Vertices[Out-Degree],"&gt;="&amp;H17)</f>
        <v>0</v>
      </c>
      <c r="J16" s="39">
        <f t="shared" si="4"/>
        <v>0.5090909090909091</v>
      </c>
      <c r="K16" s="40">
        <f>COUNTIF(Vertices[Betweenness Centrality],"&gt;= "&amp;J16)-COUNTIF(Vertices[Betweenness Centrality],"&gt;="&amp;J17)</f>
        <v>0</v>
      </c>
      <c r="L16" s="39">
        <f t="shared" si="5"/>
        <v>0.5030300545454542</v>
      </c>
      <c r="M16" s="40">
        <f>COUNTIF(Vertices[Closeness Centrality],"&gt;= "&amp;L16)-COUNTIF(Vertices[Closeness Centrality],"&gt;="&amp;L17)</f>
        <v>0</v>
      </c>
      <c r="N16" s="39">
        <f t="shared" si="6"/>
        <v>0.15731772727272728</v>
      </c>
      <c r="O16" s="40">
        <f>COUNTIF(Vertices[Eigenvector Centrality],"&gt;= "&amp;N16)-COUNTIF(Vertices[Eigenvector Centrality],"&gt;="&amp;N17)</f>
        <v>0</v>
      </c>
      <c r="P16" s="39">
        <f t="shared" si="7"/>
        <v>0.894534254545454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0.5454545454545455</v>
      </c>
      <c r="G17" s="42">
        <f>COUNTIF(Vertices[In-Degree],"&gt;= "&amp;F17)-COUNTIF(Vertices[In-Degree],"&gt;="&amp;F18)</f>
        <v>0</v>
      </c>
      <c r="H17" s="41">
        <f t="shared" si="3"/>
        <v>0.5454545454545455</v>
      </c>
      <c r="I17" s="42">
        <f>COUNTIF(Vertices[Out-Degree],"&gt;= "&amp;H17)-COUNTIF(Vertices[Out-Degree],"&gt;="&amp;H18)</f>
        <v>0</v>
      </c>
      <c r="J17" s="41">
        <f t="shared" si="4"/>
        <v>0.5454545454545455</v>
      </c>
      <c r="K17" s="42">
        <f>COUNTIF(Vertices[Betweenness Centrality],"&gt;= "&amp;J17)-COUNTIF(Vertices[Betweenness Centrality],"&gt;="&amp;J18)</f>
        <v>0</v>
      </c>
      <c r="L17" s="41">
        <f t="shared" si="5"/>
        <v>0.5151512727272725</v>
      </c>
      <c r="M17" s="42">
        <f>COUNTIF(Vertices[Closeness Centrality],"&gt;= "&amp;L17)-COUNTIF(Vertices[Closeness Centrality],"&gt;="&amp;L18)</f>
        <v>0</v>
      </c>
      <c r="N17" s="41">
        <f t="shared" si="6"/>
        <v>0.16855463636363638</v>
      </c>
      <c r="O17" s="42">
        <f>COUNTIF(Vertices[Eigenvector Centrality],"&gt;= "&amp;N17)-COUNTIF(Vertices[Eigenvector Centrality],"&gt;="&amp;N18)</f>
        <v>0</v>
      </c>
      <c r="P17" s="41">
        <f t="shared" si="7"/>
        <v>0.9083092727272721</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0.5818181818181819</v>
      </c>
      <c r="G18" s="40">
        <f>COUNTIF(Vertices[In-Degree],"&gt;= "&amp;F18)-COUNTIF(Vertices[In-Degree],"&gt;="&amp;F19)</f>
        <v>0</v>
      </c>
      <c r="H18" s="39">
        <f t="shared" si="3"/>
        <v>0.5818181818181819</v>
      </c>
      <c r="I18" s="40">
        <f>COUNTIF(Vertices[Out-Degree],"&gt;= "&amp;H18)-COUNTIF(Vertices[Out-Degree],"&gt;="&amp;H19)</f>
        <v>0</v>
      </c>
      <c r="J18" s="39">
        <f t="shared" si="4"/>
        <v>0.5818181818181819</v>
      </c>
      <c r="K18" s="40">
        <f>COUNTIF(Vertices[Betweenness Centrality],"&gt;= "&amp;J18)-COUNTIF(Vertices[Betweenness Centrality],"&gt;="&amp;J19)</f>
        <v>0</v>
      </c>
      <c r="L18" s="39">
        <f t="shared" si="5"/>
        <v>0.5272724909090907</v>
      </c>
      <c r="M18" s="40">
        <f>COUNTIF(Vertices[Closeness Centrality],"&gt;= "&amp;L18)-COUNTIF(Vertices[Closeness Centrality],"&gt;="&amp;L19)</f>
        <v>0</v>
      </c>
      <c r="N18" s="39">
        <f t="shared" si="6"/>
        <v>0.17979154545454548</v>
      </c>
      <c r="O18" s="40">
        <f>COUNTIF(Vertices[Eigenvector Centrality],"&gt;= "&amp;N18)-COUNTIF(Vertices[Eigenvector Centrality],"&gt;="&amp;N19)</f>
        <v>0</v>
      </c>
      <c r="P18" s="39">
        <f t="shared" si="7"/>
        <v>0.9220842909090903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0.6181818181818183</v>
      </c>
      <c r="G19" s="42">
        <f>COUNTIF(Vertices[In-Degree],"&gt;= "&amp;F19)-COUNTIF(Vertices[In-Degree],"&gt;="&amp;F20)</f>
        <v>0</v>
      </c>
      <c r="H19" s="41">
        <f t="shared" si="3"/>
        <v>0.6181818181818183</v>
      </c>
      <c r="I19" s="42">
        <f>COUNTIF(Vertices[Out-Degree],"&gt;= "&amp;H19)-COUNTIF(Vertices[Out-Degree],"&gt;="&amp;H20)</f>
        <v>0</v>
      </c>
      <c r="J19" s="41">
        <f t="shared" si="4"/>
        <v>0.6181818181818183</v>
      </c>
      <c r="K19" s="42">
        <f>COUNTIF(Vertices[Betweenness Centrality],"&gt;= "&amp;J19)-COUNTIF(Vertices[Betweenness Centrality],"&gt;="&amp;J20)</f>
        <v>0</v>
      </c>
      <c r="L19" s="41">
        <f t="shared" si="5"/>
        <v>0.5393937090909089</v>
      </c>
      <c r="M19" s="42">
        <f>COUNTIF(Vertices[Closeness Centrality],"&gt;= "&amp;L19)-COUNTIF(Vertices[Closeness Centrality],"&gt;="&amp;L20)</f>
        <v>0</v>
      </c>
      <c r="N19" s="41">
        <f t="shared" si="6"/>
        <v>0.19102845454545458</v>
      </c>
      <c r="O19" s="42">
        <f>COUNTIF(Vertices[Eigenvector Centrality],"&gt;= "&amp;N19)-COUNTIF(Vertices[Eigenvector Centrality],"&gt;="&amp;N20)</f>
        <v>0</v>
      </c>
      <c r="P19" s="41">
        <f t="shared" si="7"/>
        <v>0.9358593090909084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2</v>
      </c>
      <c r="D20" s="34">
        <f t="shared" si="1"/>
        <v>0</v>
      </c>
      <c r="E20" s="3">
        <f>COUNTIF(Vertices[Degree],"&gt;= "&amp;D20)-COUNTIF(Vertices[Degree],"&gt;="&amp;D21)</f>
        <v>0</v>
      </c>
      <c r="F20" s="39">
        <f t="shared" si="2"/>
        <v>0.6545454545454547</v>
      </c>
      <c r="G20" s="40">
        <f>COUNTIF(Vertices[In-Degree],"&gt;= "&amp;F20)-COUNTIF(Vertices[In-Degree],"&gt;="&amp;F21)</f>
        <v>0</v>
      </c>
      <c r="H20" s="39">
        <f t="shared" si="3"/>
        <v>0.6545454545454547</v>
      </c>
      <c r="I20" s="40">
        <f>COUNTIF(Vertices[Out-Degree],"&gt;= "&amp;H20)-COUNTIF(Vertices[Out-Degree],"&gt;="&amp;H21)</f>
        <v>0</v>
      </c>
      <c r="J20" s="39">
        <f t="shared" si="4"/>
        <v>0.6545454545454547</v>
      </c>
      <c r="K20" s="40">
        <f>COUNTIF(Vertices[Betweenness Centrality],"&gt;= "&amp;J20)-COUNTIF(Vertices[Betweenness Centrality],"&gt;="&amp;J21)</f>
        <v>0</v>
      </c>
      <c r="L20" s="39">
        <f t="shared" si="5"/>
        <v>0.5515149272727271</v>
      </c>
      <c r="M20" s="40">
        <f>COUNTIF(Vertices[Closeness Centrality],"&gt;= "&amp;L20)-COUNTIF(Vertices[Closeness Centrality],"&gt;="&amp;L21)</f>
        <v>0</v>
      </c>
      <c r="N20" s="39">
        <f t="shared" si="6"/>
        <v>0.2022653636363637</v>
      </c>
      <c r="O20" s="40">
        <f>COUNTIF(Vertices[Eigenvector Centrality],"&gt;= "&amp;N20)-COUNTIF(Vertices[Eigenvector Centrality],"&gt;="&amp;N21)</f>
        <v>0</v>
      </c>
      <c r="P20" s="39">
        <f t="shared" si="7"/>
        <v>0.9496343272727266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0.690909090909091</v>
      </c>
      <c r="G21" s="42">
        <f>COUNTIF(Vertices[In-Degree],"&gt;= "&amp;F21)-COUNTIF(Vertices[In-Degree],"&gt;="&amp;F22)</f>
        <v>0</v>
      </c>
      <c r="H21" s="41">
        <f t="shared" si="3"/>
        <v>0.690909090909091</v>
      </c>
      <c r="I21" s="42">
        <f>COUNTIF(Vertices[Out-Degree],"&gt;= "&amp;H21)-COUNTIF(Vertices[Out-Degree],"&gt;="&amp;H22)</f>
        <v>0</v>
      </c>
      <c r="J21" s="41">
        <f t="shared" si="4"/>
        <v>0.690909090909091</v>
      </c>
      <c r="K21" s="42">
        <f>COUNTIF(Vertices[Betweenness Centrality],"&gt;= "&amp;J21)-COUNTIF(Vertices[Betweenness Centrality],"&gt;="&amp;J22)</f>
        <v>0</v>
      </c>
      <c r="L21" s="41">
        <f t="shared" si="5"/>
        <v>0.5636361454545453</v>
      </c>
      <c r="M21" s="42">
        <f>COUNTIF(Vertices[Closeness Centrality],"&gt;= "&amp;L21)-COUNTIF(Vertices[Closeness Centrality],"&gt;="&amp;L22)</f>
        <v>0</v>
      </c>
      <c r="N21" s="41">
        <f t="shared" si="6"/>
        <v>0.2135022727272728</v>
      </c>
      <c r="O21" s="42">
        <f>COUNTIF(Vertices[Eigenvector Centrality],"&gt;= "&amp;N21)-COUNTIF(Vertices[Eigenvector Centrality],"&gt;="&amp;N22)</f>
        <v>0</v>
      </c>
      <c r="P21" s="41">
        <f t="shared" si="7"/>
        <v>0.9634093454545447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3</v>
      </c>
      <c r="D22" s="34">
        <f t="shared" si="1"/>
        <v>0</v>
      </c>
      <c r="E22" s="3">
        <f>COUNTIF(Vertices[Degree],"&gt;= "&amp;D22)-COUNTIF(Vertices[Degree],"&gt;="&amp;D23)</f>
        <v>0</v>
      </c>
      <c r="F22" s="39">
        <f t="shared" si="2"/>
        <v>0.7272727272727274</v>
      </c>
      <c r="G22" s="40">
        <f>COUNTIF(Vertices[In-Degree],"&gt;= "&amp;F22)-COUNTIF(Vertices[In-Degree],"&gt;="&amp;F23)</f>
        <v>0</v>
      </c>
      <c r="H22" s="39">
        <f t="shared" si="3"/>
        <v>0.7272727272727274</v>
      </c>
      <c r="I22" s="40">
        <f>COUNTIF(Vertices[Out-Degree],"&gt;= "&amp;H22)-COUNTIF(Vertices[Out-Degree],"&gt;="&amp;H23)</f>
        <v>0</v>
      </c>
      <c r="J22" s="39">
        <f t="shared" si="4"/>
        <v>0.7272727272727274</v>
      </c>
      <c r="K22" s="40">
        <f>COUNTIF(Vertices[Betweenness Centrality],"&gt;= "&amp;J22)-COUNTIF(Vertices[Betweenness Centrality],"&gt;="&amp;J23)</f>
        <v>0</v>
      </c>
      <c r="L22" s="39">
        <f t="shared" si="5"/>
        <v>0.5757573636363635</v>
      </c>
      <c r="M22" s="40">
        <f>COUNTIF(Vertices[Closeness Centrality],"&gt;= "&amp;L22)-COUNTIF(Vertices[Closeness Centrality],"&gt;="&amp;L23)</f>
        <v>0</v>
      </c>
      <c r="N22" s="39">
        <f t="shared" si="6"/>
        <v>0.2247391818181819</v>
      </c>
      <c r="O22" s="40">
        <f>COUNTIF(Vertices[Eigenvector Centrality],"&gt;= "&amp;N22)-COUNTIF(Vertices[Eigenvector Centrality],"&gt;="&amp;N23)</f>
        <v>0</v>
      </c>
      <c r="P22" s="39">
        <f t="shared" si="7"/>
        <v>0.9771843636363629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2</v>
      </c>
      <c r="D23" s="34">
        <f t="shared" si="1"/>
        <v>0</v>
      </c>
      <c r="E23" s="3">
        <f>COUNTIF(Vertices[Degree],"&gt;= "&amp;D23)-COUNTIF(Vertices[Degree],"&gt;="&amp;D24)</f>
        <v>0</v>
      </c>
      <c r="F23" s="41">
        <f t="shared" si="2"/>
        <v>0.7636363636363638</v>
      </c>
      <c r="G23" s="42">
        <f>COUNTIF(Vertices[In-Degree],"&gt;= "&amp;F23)-COUNTIF(Vertices[In-Degree],"&gt;="&amp;F24)</f>
        <v>0</v>
      </c>
      <c r="H23" s="41">
        <f t="shared" si="3"/>
        <v>0.7636363636363638</v>
      </c>
      <c r="I23" s="42">
        <f>COUNTIF(Vertices[Out-Degree],"&gt;= "&amp;H23)-COUNTIF(Vertices[Out-Degree],"&gt;="&amp;H24)</f>
        <v>0</v>
      </c>
      <c r="J23" s="41">
        <f t="shared" si="4"/>
        <v>0.7636363636363638</v>
      </c>
      <c r="K23" s="42">
        <f>COUNTIF(Vertices[Betweenness Centrality],"&gt;= "&amp;J23)-COUNTIF(Vertices[Betweenness Centrality],"&gt;="&amp;J24)</f>
        <v>0</v>
      </c>
      <c r="L23" s="41">
        <f t="shared" si="5"/>
        <v>0.5878785818181818</v>
      </c>
      <c r="M23" s="42">
        <f>COUNTIF(Vertices[Closeness Centrality],"&gt;= "&amp;L23)-COUNTIF(Vertices[Closeness Centrality],"&gt;="&amp;L24)</f>
        <v>0</v>
      </c>
      <c r="N23" s="41">
        <f t="shared" si="6"/>
        <v>0.235976090909091</v>
      </c>
      <c r="O23" s="42">
        <f>COUNTIF(Vertices[Eigenvector Centrality],"&gt;= "&amp;N23)-COUNTIF(Vertices[Eigenvector Centrality],"&gt;="&amp;N24)</f>
        <v>0</v>
      </c>
      <c r="P23" s="41">
        <f t="shared" si="7"/>
        <v>0.990959381818181</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9"/>
      <c r="B24" s="129"/>
      <c r="D24" s="34">
        <f t="shared" si="1"/>
        <v>0</v>
      </c>
      <c r="E24" s="3">
        <f>COUNTIF(Vertices[Degree],"&gt;= "&amp;D24)-COUNTIF(Vertices[Degree],"&gt;="&amp;D25)</f>
        <v>0</v>
      </c>
      <c r="F24" s="39">
        <f t="shared" si="2"/>
        <v>0.8000000000000002</v>
      </c>
      <c r="G24" s="40">
        <f>COUNTIF(Vertices[In-Degree],"&gt;= "&amp;F24)-COUNTIF(Vertices[In-Degree],"&gt;="&amp;F25)</f>
        <v>0</v>
      </c>
      <c r="H24" s="39">
        <f t="shared" si="3"/>
        <v>0.8000000000000002</v>
      </c>
      <c r="I24" s="40">
        <f>COUNTIF(Vertices[Out-Degree],"&gt;= "&amp;H24)-COUNTIF(Vertices[Out-Degree],"&gt;="&amp;H25)</f>
        <v>0</v>
      </c>
      <c r="J24" s="39">
        <f t="shared" si="4"/>
        <v>0.8000000000000002</v>
      </c>
      <c r="K24" s="40">
        <f>COUNTIF(Vertices[Betweenness Centrality],"&gt;= "&amp;J24)-COUNTIF(Vertices[Betweenness Centrality],"&gt;="&amp;J25)</f>
        <v>0</v>
      </c>
      <c r="L24" s="39">
        <f t="shared" si="5"/>
        <v>0.5999998</v>
      </c>
      <c r="M24" s="40">
        <f>COUNTIF(Vertices[Closeness Centrality],"&gt;= "&amp;L24)-COUNTIF(Vertices[Closeness Centrality],"&gt;="&amp;L25)</f>
        <v>0</v>
      </c>
      <c r="N24" s="39">
        <f t="shared" si="6"/>
        <v>0.2472130000000001</v>
      </c>
      <c r="O24" s="40">
        <f>COUNTIF(Vertices[Eigenvector Centrality],"&gt;= "&amp;N24)-COUNTIF(Vertices[Eigenvector Centrality],"&gt;="&amp;N25)</f>
        <v>0</v>
      </c>
      <c r="P24" s="39">
        <f t="shared" si="7"/>
        <v>1.0047343999999991</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0.8363636363636365</v>
      </c>
      <c r="G25" s="42">
        <f>COUNTIF(Vertices[In-Degree],"&gt;= "&amp;F25)-COUNTIF(Vertices[In-Degree],"&gt;="&amp;F26)</f>
        <v>0</v>
      </c>
      <c r="H25" s="41">
        <f t="shared" si="3"/>
        <v>0.8363636363636365</v>
      </c>
      <c r="I25" s="42">
        <f>COUNTIF(Vertices[Out-Degree],"&gt;= "&amp;H25)-COUNTIF(Vertices[Out-Degree],"&gt;="&amp;H26)</f>
        <v>0</v>
      </c>
      <c r="J25" s="41">
        <f t="shared" si="4"/>
        <v>0.8363636363636365</v>
      </c>
      <c r="K25" s="42">
        <f>COUNTIF(Vertices[Betweenness Centrality],"&gt;= "&amp;J25)-COUNTIF(Vertices[Betweenness Centrality],"&gt;="&amp;J26)</f>
        <v>0</v>
      </c>
      <c r="L25" s="41">
        <f t="shared" si="5"/>
        <v>0.6121210181818182</v>
      </c>
      <c r="M25" s="42">
        <f>COUNTIF(Vertices[Closeness Centrality],"&gt;= "&amp;L25)-COUNTIF(Vertices[Closeness Centrality],"&gt;="&amp;L26)</f>
        <v>0</v>
      </c>
      <c r="N25" s="41">
        <f t="shared" si="6"/>
        <v>0.2584499090909092</v>
      </c>
      <c r="O25" s="42">
        <f>COUNTIF(Vertices[Eigenvector Centrality],"&gt;= "&amp;N25)-COUNTIF(Vertices[Eigenvector Centrality],"&gt;="&amp;N26)</f>
        <v>0</v>
      </c>
      <c r="P25" s="41">
        <f t="shared" si="7"/>
        <v>1.0185094181818173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0.769231</v>
      </c>
      <c r="D26" s="34">
        <f t="shared" si="1"/>
        <v>0</v>
      </c>
      <c r="E26" s="3">
        <f>COUNTIF(Vertices[Degree],"&gt;= "&amp;D26)-COUNTIF(Vertices[Degree],"&gt;="&amp;D28)</f>
        <v>0</v>
      </c>
      <c r="F26" s="39">
        <f t="shared" si="2"/>
        <v>0.8727272727272729</v>
      </c>
      <c r="G26" s="40">
        <f>COUNTIF(Vertices[In-Degree],"&gt;= "&amp;F26)-COUNTIF(Vertices[In-Degree],"&gt;="&amp;F28)</f>
        <v>0</v>
      </c>
      <c r="H26" s="39">
        <f t="shared" si="3"/>
        <v>0.8727272727272729</v>
      </c>
      <c r="I26" s="40">
        <f>COUNTIF(Vertices[Out-Degree],"&gt;= "&amp;H26)-COUNTIF(Vertices[Out-Degree],"&gt;="&amp;H28)</f>
        <v>0</v>
      </c>
      <c r="J26" s="39">
        <f t="shared" si="4"/>
        <v>0.8727272727272729</v>
      </c>
      <c r="K26" s="40">
        <f>COUNTIF(Vertices[Betweenness Centrality],"&gt;= "&amp;J26)-COUNTIF(Vertices[Betweenness Centrality],"&gt;="&amp;J28)</f>
        <v>0</v>
      </c>
      <c r="L26" s="39">
        <f t="shared" si="5"/>
        <v>0.6242422363636364</v>
      </c>
      <c r="M26" s="40">
        <f>COUNTIF(Vertices[Closeness Centrality],"&gt;= "&amp;L26)-COUNTIF(Vertices[Closeness Centrality],"&gt;="&amp;L28)</f>
        <v>0</v>
      </c>
      <c r="N26" s="39">
        <f t="shared" si="6"/>
        <v>0.2696868181818183</v>
      </c>
      <c r="O26" s="40">
        <f>COUNTIF(Vertices[Eigenvector Centrality],"&gt;= "&amp;N26)-COUNTIF(Vertices[Eigenvector Centrality],"&gt;="&amp;N28)</f>
        <v>0</v>
      </c>
      <c r="P26" s="39">
        <f t="shared" si="7"/>
        <v>1.0322844363636354</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8"/>
      <c r="G27" s="79">
        <f>COUNTIF(Vertices[In-Degree],"&gt;= "&amp;F27)-COUNTIF(Vertices[In-Degree],"&gt;="&amp;F28)</f>
        <v>-3</v>
      </c>
      <c r="H27" s="78"/>
      <c r="I27" s="79">
        <f>COUNTIF(Vertices[Out-Degree],"&gt;= "&amp;H27)-COUNTIF(Vertices[Out-Degree],"&gt;="&amp;H28)</f>
        <v>-3</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-5</v>
      </c>
      <c r="T27" s="78"/>
      <c r="U27" s="79">
        <f ca="1">COUNTIF(Vertices[Clustering Coefficient],"&gt;= "&amp;T27)-COUNTIF(Vertices[Clustering Coefficient],"&gt;="&amp;T28)</f>
        <v>0</v>
      </c>
    </row>
    <row r="28" spans="1:21" ht="15">
      <c r="A28" s="36" t="s">
        <v>158</v>
      </c>
      <c r="B28" s="36">
        <v>0.15</v>
      </c>
      <c r="D28" s="34">
        <f>D26+($D$57-$D$2)/BinDivisor</f>
        <v>0</v>
      </c>
      <c r="E28" s="3">
        <f>COUNTIF(Vertices[Degree],"&gt;= "&amp;D28)-COUNTIF(Vertices[Degree],"&gt;="&amp;D40)</f>
        <v>0</v>
      </c>
      <c r="F28" s="41">
        <f>F26+($F$57-$F$2)/BinDivisor</f>
        <v>0.9090909090909093</v>
      </c>
      <c r="G28" s="42">
        <f>COUNTIF(Vertices[In-Degree],"&gt;= "&amp;F28)-COUNTIF(Vertices[In-Degree],"&gt;="&amp;F40)</f>
        <v>0</v>
      </c>
      <c r="H28" s="41">
        <f>H26+($H$57-$H$2)/BinDivisor</f>
        <v>0.9090909090909093</v>
      </c>
      <c r="I28" s="42">
        <f>COUNTIF(Vertices[Out-Degree],"&gt;= "&amp;H28)-COUNTIF(Vertices[Out-Degree],"&gt;="&amp;H40)</f>
        <v>0</v>
      </c>
      <c r="J28" s="41">
        <f>J26+($J$57-$J$2)/BinDivisor</f>
        <v>0.9090909090909093</v>
      </c>
      <c r="K28" s="42">
        <f>COUNTIF(Vertices[Betweenness Centrality],"&gt;= "&amp;J28)-COUNTIF(Vertices[Betweenness Centrality],"&gt;="&amp;J40)</f>
        <v>0</v>
      </c>
      <c r="L28" s="41">
        <f>L26+($L$57-$L$2)/BinDivisor</f>
        <v>0.6363634545454546</v>
      </c>
      <c r="M28" s="42">
        <f>COUNTIF(Vertices[Closeness Centrality],"&gt;= "&amp;L28)-COUNTIF(Vertices[Closeness Centrality],"&gt;="&amp;L40)</f>
        <v>0</v>
      </c>
      <c r="N28" s="41">
        <f>N26+($N$57-$N$2)/BinDivisor</f>
        <v>0.28092372727272735</v>
      </c>
      <c r="O28" s="42">
        <f>COUNTIF(Vertices[Eigenvector Centrality],"&gt;= "&amp;N28)-COUNTIF(Vertices[Eigenvector Centrality],"&gt;="&amp;N40)</f>
        <v>0</v>
      </c>
      <c r="P28" s="41">
        <f>P26+($P$57-$P$2)/BinDivisor</f>
        <v>1.0460594545454536</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348</v>
      </c>
      <c r="B29" s="36">
        <v>0.484375</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29"/>
      <c r="B30" s="129"/>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349</v>
      </c>
      <c r="B31" s="36" t="s">
        <v>350</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-3</v>
      </c>
      <c r="H38" s="78"/>
      <c r="I38" s="79">
        <f>COUNTIF(Vertices[Out-Degree],"&gt;= "&amp;H38)-COUNTIF(Vertices[Out-Degree],"&gt;="&amp;H40)</f>
        <v>-3</v>
      </c>
      <c r="J38" s="78"/>
      <c r="K38" s="79">
        <f>COUNTIF(Vertices[Betweenness Centrality],"&gt;= "&amp;J38)-COUNTIF(Vertices[Betweenness Centrality],"&gt;="&amp;J40)</f>
        <v>-1</v>
      </c>
      <c r="L38" s="78"/>
      <c r="M38" s="79">
        <f>COUNTIF(Vertices[Closeness Centrality],"&gt;= "&amp;L38)-COUNTIF(Vertices[Closeness Centrality],"&gt;="&amp;L40)</f>
        <v>-2</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-5</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-3</v>
      </c>
      <c r="H39" s="78"/>
      <c r="I39" s="79">
        <f>COUNTIF(Vertices[Out-Degree],"&gt;= "&amp;H39)-COUNTIF(Vertices[Out-Degree],"&gt;="&amp;H40)</f>
        <v>-3</v>
      </c>
      <c r="J39" s="78"/>
      <c r="K39" s="79">
        <f>COUNTIF(Vertices[Betweenness Centrality],"&gt;= "&amp;J39)-COUNTIF(Vertices[Betweenness Centrality],"&gt;="&amp;J40)</f>
        <v>-1</v>
      </c>
      <c r="L39" s="78"/>
      <c r="M39" s="79">
        <f>COUNTIF(Vertices[Closeness Centrality],"&gt;= "&amp;L39)-COUNTIF(Vertices[Closeness Centrality],"&gt;="&amp;L40)</f>
        <v>-2</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-5</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0.9454545454545457</v>
      </c>
      <c r="G40" s="40">
        <f>COUNTIF(Vertices[In-Degree],"&gt;= "&amp;F40)-COUNTIF(Vertices[In-Degree],"&gt;="&amp;F41)</f>
        <v>0</v>
      </c>
      <c r="H40" s="39">
        <f>H28+($H$57-$H$2)/BinDivisor</f>
        <v>0.9454545454545457</v>
      </c>
      <c r="I40" s="40">
        <f>COUNTIF(Vertices[Out-Degree],"&gt;= "&amp;H40)-COUNTIF(Vertices[Out-Degree],"&gt;="&amp;H41)</f>
        <v>0</v>
      </c>
      <c r="J40" s="39">
        <f>J28+($J$57-$J$2)/BinDivisor</f>
        <v>0.9454545454545457</v>
      </c>
      <c r="K40" s="40">
        <f>COUNTIF(Vertices[Betweenness Centrality],"&gt;= "&amp;J40)-COUNTIF(Vertices[Betweenness Centrality],"&gt;="&amp;J41)</f>
        <v>0</v>
      </c>
      <c r="L40" s="39">
        <f>L28+($L$57-$L$2)/BinDivisor</f>
        <v>0.6484846727272728</v>
      </c>
      <c r="M40" s="40">
        <f>COUNTIF(Vertices[Closeness Centrality],"&gt;= "&amp;L40)-COUNTIF(Vertices[Closeness Centrality],"&gt;="&amp;L41)</f>
        <v>0</v>
      </c>
      <c r="N40" s="39">
        <f>N28+($N$57-$N$2)/BinDivisor</f>
        <v>0.29216063636363643</v>
      </c>
      <c r="O40" s="40">
        <f>COUNTIF(Vertices[Eigenvector Centrality],"&gt;= "&amp;N40)-COUNTIF(Vertices[Eigenvector Centrality],"&gt;="&amp;N41)</f>
        <v>0</v>
      </c>
      <c r="P40" s="39">
        <f>P28+($P$57-$P$2)/BinDivisor</f>
        <v>1.0598344727272717</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0.981818181818182</v>
      </c>
      <c r="G41" s="42">
        <f>COUNTIF(Vertices[In-Degree],"&gt;= "&amp;F41)-COUNTIF(Vertices[In-Degree],"&gt;="&amp;F42)</f>
        <v>2</v>
      </c>
      <c r="H41" s="41">
        <f aca="true" t="shared" si="12" ref="H41:H56">H40+($H$57-$H$2)/BinDivisor</f>
        <v>0.981818181818182</v>
      </c>
      <c r="I41" s="42">
        <f>COUNTIF(Vertices[Out-Degree],"&gt;= "&amp;H41)-COUNTIF(Vertices[Out-Degree],"&gt;="&amp;H42)</f>
        <v>2</v>
      </c>
      <c r="J41" s="41">
        <f aca="true" t="shared" si="13" ref="J41:J56">J40+($J$57-$J$2)/BinDivisor</f>
        <v>0.981818181818182</v>
      </c>
      <c r="K41" s="42">
        <f>COUNTIF(Vertices[Betweenness Centrality],"&gt;= "&amp;J41)-COUNTIF(Vertices[Betweenness Centrality],"&gt;="&amp;J42)</f>
        <v>0</v>
      </c>
      <c r="L41" s="41">
        <f aca="true" t="shared" si="14" ref="L41:L56">L40+($L$57-$L$2)/BinDivisor</f>
        <v>0.660605890909091</v>
      </c>
      <c r="M41" s="42">
        <f>COUNTIF(Vertices[Closeness Centrality],"&gt;= "&amp;L41)-COUNTIF(Vertices[Closeness Centrality],"&gt;="&amp;L42)</f>
        <v>0</v>
      </c>
      <c r="N41" s="41">
        <f aca="true" t="shared" si="15" ref="N41:N56">N40+($N$57-$N$2)/BinDivisor</f>
        <v>0.3033975454545455</v>
      </c>
      <c r="O41" s="42">
        <f>COUNTIF(Vertices[Eigenvector Centrality],"&gt;= "&amp;N41)-COUNTIF(Vertices[Eigenvector Centrality],"&gt;="&amp;N42)</f>
        <v>0</v>
      </c>
      <c r="P41" s="41">
        <f aca="true" t="shared" si="16" ref="P41:P56">P40+($P$57-$P$2)/BinDivisor</f>
        <v>1.0736094909090899</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1.0181818181818183</v>
      </c>
      <c r="G42" s="40">
        <f>COUNTIF(Vertices[In-Degree],"&gt;= "&amp;F42)-COUNTIF(Vertices[In-Degree],"&gt;="&amp;F43)</f>
        <v>0</v>
      </c>
      <c r="H42" s="39">
        <f t="shared" si="12"/>
        <v>1.0181818181818183</v>
      </c>
      <c r="I42" s="40">
        <f>COUNTIF(Vertices[Out-Degree],"&gt;= "&amp;H42)-COUNTIF(Vertices[Out-Degree],"&gt;="&amp;H43)</f>
        <v>0</v>
      </c>
      <c r="J42" s="39">
        <f t="shared" si="13"/>
        <v>1.0181818181818183</v>
      </c>
      <c r="K42" s="40">
        <f>COUNTIF(Vertices[Betweenness Centrality],"&gt;= "&amp;J42)-COUNTIF(Vertices[Betweenness Centrality],"&gt;="&amp;J43)</f>
        <v>0</v>
      </c>
      <c r="L42" s="39">
        <f t="shared" si="14"/>
        <v>0.6727271090909093</v>
      </c>
      <c r="M42" s="40">
        <f>COUNTIF(Vertices[Closeness Centrality],"&gt;= "&amp;L42)-COUNTIF(Vertices[Closeness Centrality],"&gt;="&amp;L43)</f>
        <v>0</v>
      </c>
      <c r="N42" s="39">
        <f t="shared" si="15"/>
        <v>0.3146344545454546</v>
      </c>
      <c r="O42" s="40">
        <f>COUNTIF(Vertices[Eigenvector Centrality],"&gt;= "&amp;N42)-COUNTIF(Vertices[Eigenvector Centrality],"&gt;="&amp;N43)</f>
        <v>0</v>
      </c>
      <c r="P42" s="39">
        <f t="shared" si="16"/>
        <v>1.087384509090908</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1.0545454545454547</v>
      </c>
      <c r="G43" s="42">
        <f>COUNTIF(Vertices[In-Degree],"&gt;= "&amp;F43)-COUNTIF(Vertices[In-Degree],"&gt;="&amp;F44)</f>
        <v>0</v>
      </c>
      <c r="H43" s="41">
        <f t="shared" si="12"/>
        <v>1.0545454545454547</v>
      </c>
      <c r="I43" s="42">
        <f>COUNTIF(Vertices[Out-Degree],"&gt;= "&amp;H43)-COUNTIF(Vertices[Out-Degree],"&gt;="&amp;H44)</f>
        <v>0</v>
      </c>
      <c r="J43" s="41">
        <f t="shared" si="13"/>
        <v>1.0545454545454547</v>
      </c>
      <c r="K43" s="42">
        <f>COUNTIF(Vertices[Betweenness Centrality],"&gt;= "&amp;J43)-COUNTIF(Vertices[Betweenness Centrality],"&gt;="&amp;J44)</f>
        <v>0</v>
      </c>
      <c r="L43" s="41">
        <f t="shared" si="14"/>
        <v>0.6848483272727275</v>
      </c>
      <c r="M43" s="42">
        <f>COUNTIF(Vertices[Closeness Centrality],"&gt;= "&amp;L43)-COUNTIF(Vertices[Closeness Centrality],"&gt;="&amp;L44)</f>
        <v>0</v>
      </c>
      <c r="N43" s="41">
        <f t="shared" si="15"/>
        <v>0.32587136363636365</v>
      </c>
      <c r="O43" s="42">
        <f>COUNTIF(Vertices[Eigenvector Centrality],"&gt;= "&amp;N43)-COUNTIF(Vertices[Eigenvector Centrality],"&gt;="&amp;N44)</f>
        <v>0</v>
      </c>
      <c r="P43" s="41">
        <f t="shared" si="16"/>
        <v>1.1011595272727261</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1.090909090909091</v>
      </c>
      <c r="G44" s="40">
        <f>COUNTIF(Vertices[In-Degree],"&gt;= "&amp;F44)-COUNTIF(Vertices[In-Degree],"&gt;="&amp;F45)</f>
        <v>0</v>
      </c>
      <c r="H44" s="39">
        <f t="shared" si="12"/>
        <v>1.090909090909091</v>
      </c>
      <c r="I44" s="40">
        <f>COUNTIF(Vertices[Out-Degree],"&gt;= "&amp;H44)-COUNTIF(Vertices[Out-Degree],"&gt;="&amp;H45)</f>
        <v>0</v>
      </c>
      <c r="J44" s="39">
        <f t="shared" si="13"/>
        <v>1.090909090909091</v>
      </c>
      <c r="K44" s="40">
        <f>COUNTIF(Vertices[Betweenness Centrality],"&gt;= "&amp;J44)-COUNTIF(Vertices[Betweenness Centrality],"&gt;="&amp;J45)</f>
        <v>0</v>
      </c>
      <c r="L44" s="39">
        <f t="shared" si="14"/>
        <v>0.6969695454545457</v>
      </c>
      <c r="M44" s="40">
        <f>COUNTIF(Vertices[Closeness Centrality],"&gt;= "&amp;L44)-COUNTIF(Vertices[Closeness Centrality],"&gt;="&amp;L45)</f>
        <v>0</v>
      </c>
      <c r="N44" s="39">
        <f t="shared" si="15"/>
        <v>0.33710827272727273</v>
      </c>
      <c r="O44" s="40">
        <f>COUNTIF(Vertices[Eigenvector Centrality],"&gt;= "&amp;N44)-COUNTIF(Vertices[Eigenvector Centrality],"&gt;="&amp;N45)</f>
        <v>0</v>
      </c>
      <c r="P44" s="39">
        <f t="shared" si="16"/>
        <v>1.1149345454545443</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1.1272727272727274</v>
      </c>
      <c r="G45" s="42">
        <f>COUNTIF(Vertices[In-Degree],"&gt;= "&amp;F45)-COUNTIF(Vertices[In-Degree],"&gt;="&amp;F46)</f>
        <v>0</v>
      </c>
      <c r="H45" s="41">
        <f t="shared" si="12"/>
        <v>1.1272727272727274</v>
      </c>
      <c r="I45" s="42">
        <f>COUNTIF(Vertices[Out-Degree],"&gt;= "&amp;H45)-COUNTIF(Vertices[Out-Degree],"&gt;="&amp;H46)</f>
        <v>0</v>
      </c>
      <c r="J45" s="41">
        <f t="shared" si="13"/>
        <v>1.1272727272727274</v>
      </c>
      <c r="K45" s="42">
        <f>COUNTIF(Vertices[Betweenness Centrality],"&gt;= "&amp;J45)-COUNTIF(Vertices[Betweenness Centrality],"&gt;="&amp;J46)</f>
        <v>0</v>
      </c>
      <c r="L45" s="41">
        <f t="shared" si="14"/>
        <v>0.7090907636363639</v>
      </c>
      <c r="M45" s="42">
        <f>COUNTIF(Vertices[Closeness Centrality],"&gt;= "&amp;L45)-COUNTIF(Vertices[Closeness Centrality],"&gt;="&amp;L46)</f>
        <v>0</v>
      </c>
      <c r="N45" s="41">
        <f t="shared" si="15"/>
        <v>0.3483451818181818</v>
      </c>
      <c r="O45" s="42">
        <f>COUNTIF(Vertices[Eigenvector Centrality],"&gt;= "&amp;N45)-COUNTIF(Vertices[Eigenvector Centrality],"&gt;="&amp;N46)</f>
        <v>0</v>
      </c>
      <c r="P45" s="41">
        <f t="shared" si="16"/>
        <v>1.1287095636363624</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1.1636363636363638</v>
      </c>
      <c r="G46" s="40">
        <f>COUNTIF(Vertices[In-Degree],"&gt;= "&amp;F46)-COUNTIF(Vertices[In-Degree],"&gt;="&amp;F47)</f>
        <v>0</v>
      </c>
      <c r="H46" s="39">
        <f t="shared" si="12"/>
        <v>1.1636363636363638</v>
      </c>
      <c r="I46" s="40">
        <f>COUNTIF(Vertices[Out-Degree],"&gt;= "&amp;H46)-COUNTIF(Vertices[Out-Degree],"&gt;="&amp;H47)</f>
        <v>0</v>
      </c>
      <c r="J46" s="39">
        <f t="shared" si="13"/>
        <v>1.1636363636363638</v>
      </c>
      <c r="K46" s="40">
        <f>COUNTIF(Vertices[Betweenness Centrality],"&gt;= "&amp;J46)-COUNTIF(Vertices[Betweenness Centrality],"&gt;="&amp;J47)</f>
        <v>0</v>
      </c>
      <c r="L46" s="39">
        <f t="shared" si="14"/>
        <v>0.7212119818181821</v>
      </c>
      <c r="M46" s="40">
        <f>COUNTIF(Vertices[Closeness Centrality],"&gt;= "&amp;L46)-COUNTIF(Vertices[Closeness Centrality],"&gt;="&amp;L47)</f>
        <v>0</v>
      </c>
      <c r="N46" s="39">
        <f t="shared" si="15"/>
        <v>0.3595820909090909</v>
      </c>
      <c r="O46" s="40">
        <f>COUNTIF(Vertices[Eigenvector Centrality],"&gt;= "&amp;N46)-COUNTIF(Vertices[Eigenvector Centrality],"&gt;="&amp;N47)</f>
        <v>0</v>
      </c>
      <c r="P46" s="39">
        <f t="shared" si="16"/>
        <v>1.1424845818181806</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1.2000000000000002</v>
      </c>
      <c r="G47" s="42">
        <f>COUNTIF(Vertices[In-Degree],"&gt;= "&amp;F47)-COUNTIF(Vertices[In-Degree],"&gt;="&amp;F48)</f>
        <v>0</v>
      </c>
      <c r="H47" s="41">
        <f t="shared" si="12"/>
        <v>1.2000000000000002</v>
      </c>
      <c r="I47" s="42">
        <f>COUNTIF(Vertices[Out-Degree],"&gt;= "&amp;H47)-COUNTIF(Vertices[Out-Degree],"&gt;="&amp;H48)</f>
        <v>0</v>
      </c>
      <c r="J47" s="41">
        <f t="shared" si="13"/>
        <v>1.2000000000000002</v>
      </c>
      <c r="K47" s="42">
        <f>COUNTIF(Vertices[Betweenness Centrality],"&gt;= "&amp;J47)-COUNTIF(Vertices[Betweenness Centrality],"&gt;="&amp;J48)</f>
        <v>0</v>
      </c>
      <c r="L47" s="41">
        <f t="shared" si="14"/>
        <v>0.7333332000000004</v>
      </c>
      <c r="M47" s="42">
        <f>COUNTIF(Vertices[Closeness Centrality],"&gt;= "&amp;L47)-COUNTIF(Vertices[Closeness Centrality],"&gt;="&amp;L48)</f>
        <v>0</v>
      </c>
      <c r="N47" s="41">
        <f t="shared" si="15"/>
        <v>0.37081899999999995</v>
      </c>
      <c r="O47" s="42">
        <f>COUNTIF(Vertices[Eigenvector Centrality],"&gt;= "&amp;N47)-COUNTIF(Vertices[Eigenvector Centrality],"&gt;="&amp;N48)</f>
        <v>1</v>
      </c>
      <c r="P47" s="41">
        <f t="shared" si="16"/>
        <v>1.1562595999999987</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1.2363636363636366</v>
      </c>
      <c r="G48" s="40">
        <f>COUNTIF(Vertices[In-Degree],"&gt;= "&amp;F48)-COUNTIF(Vertices[In-Degree],"&gt;="&amp;F49)</f>
        <v>0</v>
      </c>
      <c r="H48" s="39">
        <f t="shared" si="12"/>
        <v>1.2363636363636366</v>
      </c>
      <c r="I48" s="40">
        <f>COUNTIF(Vertices[Out-Degree],"&gt;= "&amp;H48)-COUNTIF(Vertices[Out-Degree],"&gt;="&amp;H49)</f>
        <v>0</v>
      </c>
      <c r="J48" s="39">
        <f t="shared" si="13"/>
        <v>1.2363636363636366</v>
      </c>
      <c r="K48" s="40">
        <f>COUNTIF(Vertices[Betweenness Centrality],"&gt;= "&amp;J48)-COUNTIF(Vertices[Betweenness Centrality],"&gt;="&amp;J49)</f>
        <v>0</v>
      </c>
      <c r="L48" s="39">
        <f t="shared" si="14"/>
        <v>0.7454544181818186</v>
      </c>
      <c r="M48" s="40">
        <f>COUNTIF(Vertices[Closeness Centrality],"&gt;= "&amp;L48)-COUNTIF(Vertices[Closeness Centrality],"&gt;="&amp;L49)</f>
        <v>0</v>
      </c>
      <c r="N48" s="39">
        <f t="shared" si="15"/>
        <v>0.38205590909090903</v>
      </c>
      <c r="O48" s="40">
        <f>COUNTIF(Vertices[Eigenvector Centrality],"&gt;= "&amp;N48)-COUNTIF(Vertices[Eigenvector Centrality],"&gt;="&amp;N49)</f>
        <v>0</v>
      </c>
      <c r="P48" s="39">
        <f t="shared" si="16"/>
        <v>1.1700346181818169</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1.272727272727273</v>
      </c>
      <c r="G49" s="42">
        <f>COUNTIF(Vertices[In-Degree],"&gt;= "&amp;F49)-COUNTIF(Vertices[In-Degree],"&gt;="&amp;F50)</f>
        <v>0</v>
      </c>
      <c r="H49" s="41">
        <f t="shared" si="12"/>
        <v>1.272727272727273</v>
      </c>
      <c r="I49" s="42">
        <f>COUNTIF(Vertices[Out-Degree],"&gt;= "&amp;H49)-COUNTIF(Vertices[Out-Degree],"&gt;="&amp;H50)</f>
        <v>0</v>
      </c>
      <c r="J49" s="41">
        <f t="shared" si="13"/>
        <v>1.272727272727273</v>
      </c>
      <c r="K49" s="42">
        <f>COUNTIF(Vertices[Betweenness Centrality],"&gt;= "&amp;J49)-COUNTIF(Vertices[Betweenness Centrality],"&gt;="&amp;J50)</f>
        <v>0</v>
      </c>
      <c r="L49" s="41">
        <f t="shared" si="14"/>
        <v>0.7575756363636368</v>
      </c>
      <c r="M49" s="42">
        <f>COUNTIF(Vertices[Closeness Centrality],"&gt;= "&amp;L49)-COUNTIF(Vertices[Closeness Centrality],"&gt;="&amp;L50)</f>
        <v>0</v>
      </c>
      <c r="N49" s="41">
        <f t="shared" si="15"/>
        <v>0.3932928181818181</v>
      </c>
      <c r="O49" s="42">
        <f>COUNTIF(Vertices[Eigenvector Centrality],"&gt;= "&amp;N49)-COUNTIF(Vertices[Eigenvector Centrality],"&gt;="&amp;N50)</f>
        <v>0</v>
      </c>
      <c r="P49" s="41">
        <f t="shared" si="16"/>
        <v>1.183809636363635</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1.3090909090909093</v>
      </c>
      <c r="G50" s="40">
        <f>COUNTIF(Vertices[In-Degree],"&gt;= "&amp;F50)-COUNTIF(Vertices[In-Degree],"&gt;="&amp;F51)</f>
        <v>0</v>
      </c>
      <c r="H50" s="39">
        <f t="shared" si="12"/>
        <v>1.3090909090909093</v>
      </c>
      <c r="I50" s="40">
        <f>COUNTIF(Vertices[Out-Degree],"&gt;= "&amp;H50)-COUNTIF(Vertices[Out-Degree],"&gt;="&amp;H51)</f>
        <v>0</v>
      </c>
      <c r="J50" s="39">
        <f t="shared" si="13"/>
        <v>1.3090909090909093</v>
      </c>
      <c r="K50" s="40">
        <f>COUNTIF(Vertices[Betweenness Centrality],"&gt;= "&amp;J50)-COUNTIF(Vertices[Betweenness Centrality],"&gt;="&amp;J51)</f>
        <v>0</v>
      </c>
      <c r="L50" s="39">
        <f t="shared" si="14"/>
        <v>0.769696854545455</v>
      </c>
      <c r="M50" s="40">
        <f>COUNTIF(Vertices[Closeness Centrality],"&gt;= "&amp;L50)-COUNTIF(Vertices[Closeness Centrality],"&gt;="&amp;L51)</f>
        <v>0</v>
      </c>
      <c r="N50" s="39">
        <f t="shared" si="15"/>
        <v>0.4045297272727272</v>
      </c>
      <c r="O50" s="40">
        <f>COUNTIF(Vertices[Eigenvector Centrality],"&gt;= "&amp;N50)-COUNTIF(Vertices[Eigenvector Centrality],"&gt;="&amp;N51)</f>
        <v>0</v>
      </c>
      <c r="P50" s="39">
        <f t="shared" si="16"/>
        <v>1.1975846545454532</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1.3454545454545457</v>
      </c>
      <c r="G51" s="42">
        <f>COUNTIF(Vertices[In-Degree],"&gt;= "&amp;F51)-COUNTIF(Vertices[In-Degree],"&gt;="&amp;F52)</f>
        <v>0</v>
      </c>
      <c r="H51" s="41">
        <f t="shared" si="12"/>
        <v>1.3454545454545457</v>
      </c>
      <c r="I51" s="42">
        <f>COUNTIF(Vertices[Out-Degree],"&gt;= "&amp;H51)-COUNTIF(Vertices[Out-Degree],"&gt;="&amp;H52)</f>
        <v>0</v>
      </c>
      <c r="J51" s="41">
        <f t="shared" si="13"/>
        <v>1.3454545454545457</v>
      </c>
      <c r="K51" s="42">
        <f>COUNTIF(Vertices[Betweenness Centrality],"&gt;= "&amp;J51)-COUNTIF(Vertices[Betweenness Centrality],"&gt;="&amp;J52)</f>
        <v>0</v>
      </c>
      <c r="L51" s="41">
        <f t="shared" si="14"/>
        <v>0.7818180727272732</v>
      </c>
      <c r="M51" s="42">
        <f>COUNTIF(Vertices[Closeness Centrality],"&gt;= "&amp;L51)-COUNTIF(Vertices[Closeness Centrality],"&gt;="&amp;L52)</f>
        <v>0</v>
      </c>
      <c r="N51" s="41">
        <f t="shared" si="15"/>
        <v>0.41576663636363625</v>
      </c>
      <c r="O51" s="42">
        <f>COUNTIF(Vertices[Eigenvector Centrality],"&gt;= "&amp;N51)-COUNTIF(Vertices[Eigenvector Centrality],"&gt;="&amp;N52)</f>
        <v>0</v>
      </c>
      <c r="P51" s="41">
        <f t="shared" si="16"/>
        <v>1.2113596727272713</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1.381818181818182</v>
      </c>
      <c r="G52" s="40">
        <f>COUNTIF(Vertices[In-Degree],"&gt;= "&amp;F52)-COUNTIF(Vertices[In-Degree],"&gt;="&amp;F53)</f>
        <v>0</v>
      </c>
      <c r="H52" s="39">
        <f t="shared" si="12"/>
        <v>1.381818181818182</v>
      </c>
      <c r="I52" s="40">
        <f>COUNTIF(Vertices[Out-Degree],"&gt;= "&amp;H52)-COUNTIF(Vertices[Out-Degree],"&gt;="&amp;H53)</f>
        <v>0</v>
      </c>
      <c r="J52" s="39">
        <f t="shared" si="13"/>
        <v>1.381818181818182</v>
      </c>
      <c r="K52" s="40">
        <f>COUNTIF(Vertices[Betweenness Centrality],"&gt;= "&amp;J52)-COUNTIF(Vertices[Betweenness Centrality],"&gt;="&amp;J53)</f>
        <v>0</v>
      </c>
      <c r="L52" s="39">
        <f t="shared" si="14"/>
        <v>0.7939392909090914</v>
      </c>
      <c r="M52" s="40">
        <f>COUNTIF(Vertices[Closeness Centrality],"&gt;= "&amp;L52)-COUNTIF(Vertices[Closeness Centrality],"&gt;="&amp;L53)</f>
        <v>0</v>
      </c>
      <c r="N52" s="39">
        <f t="shared" si="15"/>
        <v>0.42700354545454533</v>
      </c>
      <c r="O52" s="40">
        <f>COUNTIF(Vertices[Eigenvector Centrality],"&gt;= "&amp;N52)-COUNTIF(Vertices[Eigenvector Centrality],"&gt;="&amp;N53)</f>
        <v>0</v>
      </c>
      <c r="P52" s="39">
        <f t="shared" si="16"/>
        <v>1.2251346909090894</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1.4181818181818184</v>
      </c>
      <c r="G53" s="42">
        <f>COUNTIF(Vertices[In-Degree],"&gt;= "&amp;F53)-COUNTIF(Vertices[In-Degree],"&gt;="&amp;F54)</f>
        <v>0</v>
      </c>
      <c r="H53" s="41">
        <f t="shared" si="12"/>
        <v>1.4181818181818184</v>
      </c>
      <c r="I53" s="42">
        <f>COUNTIF(Vertices[Out-Degree],"&gt;= "&amp;H53)-COUNTIF(Vertices[Out-Degree],"&gt;="&amp;H54)</f>
        <v>0</v>
      </c>
      <c r="J53" s="41">
        <f t="shared" si="13"/>
        <v>1.4181818181818184</v>
      </c>
      <c r="K53" s="42">
        <f>COUNTIF(Vertices[Betweenness Centrality],"&gt;= "&amp;J53)-COUNTIF(Vertices[Betweenness Centrality],"&gt;="&amp;J54)</f>
        <v>0</v>
      </c>
      <c r="L53" s="41">
        <f t="shared" si="14"/>
        <v>0.8060605090909096</v>
      </c>
      <c r="M53" s="42">
        <f>COUNTIF(Vertices[Closeness Centrality],"&gt;= "&amp;L53)-COUNTIF(Vertices[Closeness Centrality],"&gt;="&amp;L54)</f>
        <v>0</v>
      </c>
      <c r="N53" s="41">
        <f t="shared" si="15"/>
        <v>0.4382404545454544</v>
      </c>
      <c r="O53" s="42">
        <f>COUNTIF(Vertices[Eigenvector Centrality],"&gt;= "&amp;N53)-COUNTIF(Vertices[Eigenvector Centrality],"&gt;="&amp;N54)</f>
        <v>0</v>
      </c>
      <c r="P53" s="41">
        <f t="shared" si="16"/>
        <v>1.2389097090909076</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1.4545454545454548</v>
      </c>
      <c r="G54" s="40">
        <f>COUNTIF(Vertices[In-Degree],"&gt;= "&amp;F54)-COUNTIF(Vertices[In-Degree],"&gt;="&amp;F55)</f>
        <v>0</v>
      </c>
      <c r="H54" s="39">
        <f t="shared" si="12"/>
        <v>1.4545454545454548</v>
      </c>
      <c r="I54" s="40">
        <f>COUNTIF(Vertices[Out-Degree],"&gt;= "&amp;H54)-COUNTIF(Vertices[Out-Degree],"&gt;="&amp;H55)</f>
        <v>0</v>
      </c>
      <c r="J54" s="39">
        <f t="shared" si="13"/>
        <v>1.4545454545454548</v>
      </c>
      <c r="K54" s="40">
        <f>COUNTIF(Vertices[Betweenness Centrality],"&gt;= "&amp;J54)-COUNTIF(Vertices[Betweenness Centrality],"&gt;="&amp;J55)</f>
        <v>0</v>
      </c>
      <c r="L54" s="39">
        <f t="shared" si="14"/>
        <v>0.8181817272727279</v>
      </c>
      <c r="M54" s="40">
        <f>COUNTIF(Vertices[Closeness Centrality],"&gt;= "&amp;L54)-COUNTIF(Vertices[Closeness Centrality],"&gt;="&amp;L55)</f>
        <v>0</v>
      </c>
      <c r="N54" s="39">
        <f t="shared" si="15"/>
        <v>0.4494773636363635</v>
      </c>
      <c r="O54" s="40">
        <f>COUNTIF(Vertices[Eigenvector Centrality],"&gt;= "&amp;N54)-COUNTIF(Vertices[Eigenvector Centrality],"&gt;="&amp;N55)</f>
        <v>0</v>
      </c>
      <c r="P54" s="39">
        <f t="shared" si="16"/>
        <v>1.2526847272727257</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1.4909090909090912</v>
      </c>
      <c r="G55" s="42">
        <f>COUNTIF(Vertices[In-Degree],"&gt;= "&amp;F55)-COUNTIF(Vertices[In-Degree],"&gt;="&amp;F56)</f>
        <v>0</v>
      </c>
      <c r="H55" s="41">
        <f t="shared" si="12"/>
        <v>1.4909090909090912</v>
      </c>
      <c r="I55" s="42">
        <f>COUNTIF(Vertices[Out-Degree],"&gt;= "&amp;H55)-COUNTIF(Vertices[Out-Degree],"&gt;="&amp;H56)</f>
        <v>0</v>
      </c>
      <c r="J55" s="41">
        <f t="shared" si="13"/>
        <v>1.4909090909090912</v>
      </c>
      <c r="K55" s="42">
        <f>COUNTIF(Vertices[Betweenness Centrality],"&gt;= "&amp;J55)-COUNTIF(Vertices[Betweenness Centrality],"&gt;="&amp;J56)</f>
        <v>0</v>
      </c>
      <c r="L55" s="41">
        <f t="shared" si="14"/>
        <v>0.8303029454545461</v>
      </c>
      <c r="M55" s="42">
        <f>COUNTIF(Vertices[Closeness Centrality],"&gt;= "&amp;L55)-COUNTIF(Vertices[Closeness Centrality],"&gt;="&amp;L56)</f>
        <v>0</v>
      </c>
      <c r="N55" s="41">
        <f t="shared" si="15"/>
        <v>0.46071427272727256</v>
      </c>
      <c r="O55" s="42">
        <f>COUNTIF(Vertices[Eigenvector Centrality],"&gt;= "&amp;N55)-COUNTIF(Vertices[Eigenvector Centrality],"&gt;="&amp;N56)</f>
        <v>0</v>
      </c>
      <c r="P55" s="41">
        <f t="shared" si="16"/>
        <v>1.2664597454545439</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1.5272727272727276</v>
      </c>
      <c r="G56" s="40">
        <f>COUNTIF(Vertices[In-Degree],"&gt;= "&amp;F56)-COUNTIF(Vertices[In-Degree],"&gt;="&amp;F57)</f>
        <v>0</v>
      </c>
      <c r="H56" s="39">
        <f t="shared" si="12"/>
        <v>1.5272727272727276</v>
      </c>
      <c r="I56" s="40">
        <f>COUNTIF(Vertices[Out-Degree],"&gt;= "&amp;H56)-COUNTIF(Vertices[Out-Degree],"&gt;="&amp;H57)</f>
        <v>0</v>
      </c>
      <c r="J56" s="39">
        <f t="shared" si="13"/>
        <v>1.5272727272727276</v>
      </c>
      <c r="K56" s="40">
        <f>COUNTIF(Vertices[Betweenness Centrality],"&gt;= "&amp;J56)-COUNTIF(Vertices[Betweenness Centrality],"&gt;="&amp;J57)</f>
        <v>0</v>
      </c>
      <c r="L56" s="39">
        <f t="shared" si="14"/>
        <v>0.8424241636363643</v>
      </c>
      <c r="M56" s="40">
        <f>COUNTIF(Vertices[Closeness Centrality],"&gt;= "&amp;L56)-COUNTIF(Vertices[Closeness Centrality],"&gt;="&amp;L57)</f>
        <v>0</v>
      </c>
      <c r="N56" s="39">
        <f t="shared" si="15"/>
        <v>0.47195118181818163</v>
      </c>
      <c r="O56" s="40">
        <f>COUNTIF(Vertices[Eigenvector Centrality],"&gt;= "&amp;N56)-COUNTIF(Vertices[Eigenvector Centrality],"&gt;="&amp;N57)</f>
        <v>0</v>
      </c>
      <c r="P56" s="39">
        <f t="shared" si="16"/>
        <v>1.280234763636362</v>
      </c>
      <c r="Q56" s="40">
        <f>COUNTIF(Vertices[PageRank],"&gt;= "&amp;P56)-COUNTIF(Vertices[PageRank],"&gt;="&amp;P57)</f>
        <v>1</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2</v>
      </c>
      <c r="G57" s="44">
        <f>COUNTIF(Vertices[In-Degree],"&gt;= "&amp;F57)-COUNTIF(Vertices[In-Degree],"&gt;="&amp;F58)</f>
        <v>1</v>
      </c>
      <c r="H57" s="43">
        <f>MAX(Vertices[Out-Degree])</f>
        <v>2</v>
      </c>
      <c r="I57" s="44">
        <f>COUNTIF(Vertices[Out-Degree],"&gt;= "&amp;H57)-COUNTIF(Vertices[Out-Degree],"&gt;="&amp;H58)</f>
        <v>1</v>
      </c>
      <c r="J57" s="43">
        <f>MAX(Vertices[Betweenness Centrality])</f>
        <v>2</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0.618031</v>
      </c>
      <c r="O57" s="44">
        <f>COUNTIF(Vertices[Eigenvector Centrality],"&gt;= "&amp;N57)-COUNTIF(Vertices[Eigenvector Centrality],"&gt;="&amp;N58)</f>
        <v>1</v>
      </c>
      <c r="P57" s="43">
        <f>MAX(Vertices[PageRank])</f>
        <v>1.45931</v>
      </c>
      <c r="Q57" s="44">
        <f>COUNTIF(Vertices[PageRank],"&gt;= "&amp;P57)-COUNTIF(Vertices[PageRank],"&gt;="&amp;P58)</f>
        <v>1</v>
      </c>
      <c r="R57" s="43">
        <f>MAX(Vertices[Clustering Coefficient])</f>
        <v>0</v>
      </c>
      <c r="S57" s="47">
        <f>COUNTIF(Vertices[Clustering Coefficient],"&gt;= "&amp;R57)-COUNTIF(Vertices[Clustering Coefficient],"&gt;="&amp;R58)</f>
        <v>5</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2</v>
      </c>
    </row>
    <row r="71" spans="1:2" ht="15">
      <c r="A71" s="35" t="s">
        <v>90</v>
      </c>
      <c r="B71" s="49">
        <f>_xlfn.IFERROR(AVERAGE(Vertices[In-Degree]),NoMetricMessage)</f>
        <v>0.8</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0.8</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v>
      </c>
    </row>
    <row r="99" spans="1:2" ht="15">
      <c r="A99" s="35" t="s">
        <v>102</v>
      </c>
      <c r="B99" s="49">
        <f>_xlfn.IFERROR(AVERAGE(Vertices[Betweenness Centrality]),NoMetricMessage)</f>
        <v>0.4</v>
      </c>
    </row>
    <row r="100" spans="1:2" ht="15">
      <c r="A100" s="35" t="s">
        <v>103</v>
      </c>
      <c r="B100" s="49">
        <f>_xlfn.IFERROR(MEDIAN(Vertices[Betweenness Centrality]),NoMetricMessage)</f>
        <v>0</v>
      </c>
    </row>
    <row r="111" spans="1:2" ht="15">
      <c r="A111" s="35" t="s">
        <v>106</v>
      </c>
      <c r="B111" s="49">
        <f>IF(COUNT(Vertices[Closeness Centrality])&gt;0,L2,NoMetricMessage)</f>
        <v>0.333333</v>
      </c>
    </row>
    <row r="112" spans="1:2" ht="15">
      <c r="A112" s="35" t="s">
        <v>107</v>
      </c>
      <c r="B112" s="49">
        <f>IF(COUNT(Vertices[Closeness Centrality])&gt;0,L57,NoMetricMessage)</f>
        <v>1</v>
      </c>
    </row>
    <row r="113" spans="1:2" ht="15">
      <c r="A113" s="35" t="s">
        <v>108</v>
      </c>
      <c r="B113" s="49">
        <f>_xlfn.IFERROR(AVERAGE(Vertices[Closeness Centrality]),NoMetricMessage)</f>
        <v>0.6333332</v>
      </c>
    </row>
    <row r="114" spans="1:2" ht="15">
      <c r="A114" s="35" t="s">
        <v>109</v>
      </c>
      <c r="B114" s="49">
        <f>_xlfn.IFERROR(MEDIAN(Vertices[Closeness Centrality]),NoMetricMessage)</f>
        <v>0.5</v>
      </c>
    </row>
    <row r="125" spans="1:2" ht="15">
      <c r="A125" s="35" t="s">
        <v>112</v>
      </c>
      <c r="B125" s="49">
        <f>IF(COUNT(Vertices[Eigenvector Centrality])&gt;0,N2,NoMetricMessage)</f>
        <v>1E-06</v>
      </c>
    </row>
    <row r="126" spans="1:2" ht="15">
      <c r="A126" s="35" t="s">
        <v>113</v>
      </c>
      <c r="B126" s="49">
        <f>IF(COUNT(Vertices[Eigenvector Centrality])&gt;0,N57,NoMetricMessage)</f>
        <v>0.618031</v>
      </c>
    </row>
    <row r="127" spans="1:2" ht="15">
      <c r="A127" s="35" t="s">
        <v>114</v>
      </c>
      <c r="B127" s="49">
        <f>_xlfn.IFERROR(AVERAGE(Vertices[Eigenvector Centrality]),NoMetricMessage)</f>
        <v>0.1999998</v>
      </c>
    </row>
    <row r="128" spans="1:2" ht="15">
      <c r="A128" s="35" t="s">
        <v>115</v>
      </c>
      <c r="B128" s="49">
        <f>_xlfn.IFERROR(MEDIAN(Vertices[Eigenvector Centrality]),NoMetricMessage)</f>
        <v>2E-06</v>
      </c>
    </row>
    <row r="139" spans="1:2" ht="15">
      <c r="A139" s="35" t="s">
        <v>140</v>
      </c>
      <c r="B139" s="49">
        <f>IF(COUNT(Vertices[PageRank])&gt;0,P2,NoMetricMessage)</f>
        <v>0.701684</v>
      </c>
    </row>
    <row r="140" spans="1:2" ht="15">
      <c r="A140" s="35" t="s">
        <v>141</v>
      </c>
      <c r="B140" s="49">
        <f>IF(COUNT(Vertices[PageRank])&gt;0,P57,NoMetricMessage)</f>
        <v>1.45931</v>
      </c>
    </row>
    <row r="141" spans="1:2" ht="15">
      <c r="A141" s="35" t="s">
        <v>142</v>
      </c>
      <c r="B141" s="49">
        <f>_xlfn.IFERROR(AVERAGE(Vertices[PageRank]),NoMetricMessage)</f>
        <v>0.9998952000000001</v>
      </c>
    </row>
    <row r="142" spans="1:2" ht="15">
      <c r="A142" s="35" t="s">
        <v>143</v>
      </c>
      <c r="B142" s="49">
        <f>_xlfn.IFERROR(MEDIAN(Vertices[PageRank]),NoMetricMessage)</f>
        <v>0.770188</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299</v>
      </c>
      <c r="K7" s="13" t="s">
        <v>300</v>
      </c>
    </row>
    <row r="8" spans="1:11" ht="409.5">
      <c r="A8"/>
      <c r="B8">
        <v>2</v>
      </c>
      <c r="C8">
        <v>2</v>
      </c>
      <c r="D8" t="s">
        <v>61</v>
      </c>
      <c r="E8" t="s">
        <v>61</v>
      </c>
      <c r="H8" t="s">
        <v>73</v>
      </c>
      <c r="J8" t="s">
        <v>301</v>
      </c>
      <c r="K8" s="13" t="s">
        <v>302</v>
      </c>
    </row>
    <row r="9" spans="1:11" ht="409.5">
      <c r="A9"/>
      <c r="B9">
        <v>3</v>
      </c>
      <c r="C9">
        <v>4</v>
      </c>
      <c r="D9" t="s">
        <v>62</v>
      </c>
      <c r="E9" t="s">
        <v>62</v>
      </c>
      <c r="H9" t="s">
        <v>74</v>
      </c>
      <c r="J9" t="s">
        <v>303</v>
      </c>
      <c r="K9" s="13" t="s">
        <v>304</v>
      </c>
    </row>
    <row r="10" spans="1:11" ht="409.5">
      <c r="A10"/>
      <c r="B10">
        <v>4</v>
      </c>
      <c r="D10" t="s">
        <v>63</v>
      </c>
      <c r="E10" t="s">
        <v>63</v>
      </c>
      <c r="H10" t="s">
        <v>75</v>
      </c>
      <c r="J10" t="s">
        <v>305</v>
      </c>
      <c r="K10" s="13" t="s">
        <v>306</v>
      </c>
    </row>
    <row r="11" spans="1:11" ht="15">
      <c r="A11"/>
      <c r="B11">
        <v>5</v>
      </c>
      <c r="D11" t="s">
        <v>46</v>
      </c>
      <c r="E11">
        <v>1</v>
      </c>
      <c r="H11" t="s">
        <v>76</v>
      </c>
      <c r="J11" t="s">
        <v>307</v>
      </c>
      <c r="K11" t="s">
        <v>308</v>
      </c>
    </row>
    <row r="12" spans="1:11" ht="15">
      <c r="A12"/>
      <c r="B12"/>
      <c r="D12" t="s">
        <v>64</v>
      </c>
      <c r="E12">
        <v>2</v>
      </c>
      <c r="H12">
        <v>0</v>
      </c>
      <c r="J12" t="s">
        <v>309</v>
      </c>
      <c r="K12" t="s">
        <v>310</v>
      </c>
    </row>
    <row r="13" spans="1:11" ht="15">
      <c r="A13"/>
      <c r="B13"/>
      <c r="D13">
        <v>1</v>
      </c>
      <c r="E13">
        <v>3</v>
      </c>
      <c r="H13">
        <v>1</v>
      </c>
      <c r="J13" t="s">
        <v>311</v>
      </c>
      <c r="K13" t="s">
        <v>312</v>
      </c>
    </row>
    <row r="14" spans="4:11" ht="15">
      <c r="D14">
        <v>2</v>
      </c>
      <c r="E14">
        <v>4</v>
      </c>
      <c r="H14">
        <v>2</v>
      </c>
      <c r="J14" t="s">
        <v>313</v>
      </c>
      <c r="K14" t="s">
        <v>314</v>
      </c>
    </row>
    <row r="15" spans="4:11" ht="15">
      <c r="D15">
        <v>3</v>
      </c>
      <c r="E15">
        <v>5</v>
      </c>
      <c r="H15">
        <v>3</v>
      </c>
      <c r="J15" t="s">
        <v>315</v>
      </c>
      <c r="K15" t="s">
        <v>316</v>
      </c>
    </row>
    <row r="16" spans="4:11" ht="15">
      <c r="D16">
        <v>4</v>
      </c>
      <c r="E16">
        <v>6</v>
      </c>
      <c r="H16">
        <v>4</v>
      </c>
      <c r="J16" t="s">
        <v>317</v>
      </c>
      <c r="K16" t="s">
        <v>318</v>
      </c>
    </row>
    <row r="17" spans="4:11" ht="15">
      <c r="D17">
        <v>5</v>
      </c>
      <c r="E17">
        <v>7</v>
      </c>
      <c r="H17">
        <v>5</v>
      </c>
      <c r="J17" t="s">
        <v>319</v>
      </c>
      <c r="K17" t="s">
        <v>320</v>
      </c>
    </row>
    <row r="18" spans="4:11" ht="15">
      <c r="D18">
        <v>6</v>
      </c>
      <c r="E18">
        <v>8</v>
      </c>
      <c r="H18">
        <v>6</v>
      </c>
      <c r="J18" t="s">
        <v>321</v>
      </c>
      <c r="K18" t="s">
        <v>322</v>
      </c>
    </row>
    <row r="19" spans="4:11" ht="15">
      <c r="D19">
        <v>7</v>
      </c>
      <c r="E19">
        <v>9</v>
      </c>
      <c r="H19">
        <v>7</v>
      </c>
      <c r="J19" t="s">
        <v>323</v>
      </c>
      <c r="K19" t="s">
        <v>324</v>
      </c>
    </row>
    <row r="20" spans="4:11" ht="15">
      <c r="D20">
        <v>8</v>
      </c>
      <c r="H20">
        <v>8</v>
      </c>
      <c r="J20" t="s">
        <v>325</v>
      </c>
      <c r="K20" t="s">
        <v>326</v>
      </c>
    </row>
    <row r="21" spans="4:11" ht="409.5">
      <c r="D21">
        <v>9</v>
      </c>
      <c r="H21">
        <v>9</v>
      </c>
      <c r="J21" t="s">
        <v>327</v>
      </c>
      <c r="K21" s="13" t="s">
        <v>328</v>
      </c>
    </row>
    <row r="22" spans="4:11" ht="409.5">
      <c r="D22">
        <v>10</v>
      </c>
      <c r="J22" t="s">
        <v>329</v>
      </c>
      <c r="K22" s="13" t="s">
        <v>330</v>
      </c>
    </row>
    <row r="23" spans="4:11" ht="409.5">
      <c r="D23">
        <v>11</v>
      </c>
      <c r="J23" t="s">
        <v>331</v>
      </c>
      <c r="K23" s="13" t="s">
        <v>332</v>
      </c>
    </row>
    <row r="24" spans="10:11" ht="409.5">
      <c r="J24" t="s">
        <v>333</v>
      </c>
      <c r="K24" s="13" t="s">
        <v>470</v>
      </c>
    </row>
    <row r="25" spans="10:11" ht="15">
      <c r="J25" t="s">
        <v>334</v>
      </c>
      <c r="K25" t="b">
        <v>0</v>
      </c>
    </row>
    <row r="26" spans="10:11" ht="15">
      <c r="J26" t="s">
        <v>468</v>
      </c>
      <c r="K26" t="s">
        <v>469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343</v>
      </c>
      <c r="B2" s="128" t="s">
        <v>344</v>
      </c>
      <c r="C2" s="67" t="s">
        <v>345</v>
      </c>
    </row>
    <row r="3" spans="1:3" ht="15">
      <c r="A3" s="127" t="s">
        <v>336</v>
      </c>
      <c r="B3" s="127" t="s">
        <v>336</v>
      </c>
      <c r="C3" s="36">
        <v>2</v>
      </c>
    </row>
    <row r="4" spans="1:3" ht="15">
      <c r="A4" s="127" t="s">
        <v>337</v>
      </c>
      <c r="B4" s="127" t="s">
        <v>337</v>
      </c>
      <c r="C4" s="36">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351</v>
      </c>
      <c r="B1" s="13" t="s">
        <v>352</v>
      </c>
      <c r="C1" s="13" t="s">
        <v>353</v>
      </c>
      <c r="D1" s="13" t="s">
        <v>355</v>
      </c>
      <c r="E1" s="85" t="s">
        <v>354</v>
      </c>
      <c r="F1" s="85" t="s">
        <v>356</v>
      </c>
    </row>
    <row r="2" spans="1:6" ht="15">
      <c r="A2" s="90" t="s">
        <v>221</v>
      </c>
      <c r="B2" s="85">
        <v>1</v>
      </c>
      <c r="C2" s="90" t="s">
        <v>221</v>
      </c>
      <c r="D2" s="85">
        <v>1</v>
      </c>
      <c r="E2" s="85"/>
      <c r="F2" s="85"/>
    </row>
    <row r="5" spans="1:6" ht="15" customHeight="1">
      <c r="A5" s="13" t="s">
        <v>358</v>
      </c>
      <c r="B5" s="13" t="s">
        <v>352</v>
      </c>
      <c r="C5" s="13" t="s">
        <v>359</v>
      </c>
      <c r="D5" s="13" t="s">
        <v>355</v>
      </c>
      <c r="E5" s="85" t="s">
        <v>360</v>
      </c>
      <c r="F5" s="85" t="s">
        <v>356</v>
      </c>
    </row>
    <row r="6" spans="1:6" ht="15">
      <c r="A6" s="85" t="s">
        <v>222</v>
      </c>
      <c r="B6" s="85">
        <v>1</v>
      </c>
      <c r="C6" s="85" t="s">
        <v>222</v>
      </c>
      <c r="D6" s="85">
        <v>1</v>
      </c>
      <c r="E6" s="85"/>
      <c r="F6" s="85"/>
    </row>
    <row r="9" spans="1:6" ht="15" customHeight="1">
      <c r="A9" s="13" t="s">
        <v>362</v>
      </c>
      <c r="B9" s="13" t="s">
        <v>352</v>
      </c>
      <c r="C9" s="13" t="s">
        <v>366</v>
      </c>
      <c r="D9" s="13" t="s">
        <v>355</v>
      </c>
      <c r="E9" s="13" t="s">
        <v>367</v>
      </c>
      <c r="F9" s="13" t="s">
        <v>356</v>
      </c>
    </row>
    <row r="10" spans="1:6" ht="15">
      <c r="A10" s="85" t="s">
        <v>363</v>
      </c>
      <c r="B10" s="85">
        <v>2</v>
      </c>
      <c r="C10" s="85" t="s">
        <v>364</v>
      </c>
      <c r="D10" s="85">
        <v>1</v>
      </c>
      <c r="E10" s="85" t="s">
        <v>365</v>
      </c>
      <c r="F10" s="85">
        <v>1</v>
      </c>
    </row>
    <row r="11" spans="1:6" ht="15">
      <c r="A11" s="85" t="s">
        <v>364</v>
      </c>
      <c r="B11" s="85">
        <v>1</v>
      </c>
      <c r="C11" s="85" t="s">
        <v>363</v>
      </c>
      <c r="D11" s="85">
        <v>1</v>
      </c>
      <c r="E11" s="85" t="s">
        <v>363</v>
      </c>
      <c r="F11" s="85">
        <v>1</v>
      </c>
    </row>
    <row r="12" spans="1:6" ht="15">
      <c r="A12" s="85" t="s">
        <v>365</v>
      </c>
      <c r="B12" s="85">
        <v>1</v>
      </c>
      <c r="C12" s="85"/>
      <c r="D12" s="85"/>
      <c r="E12" s="85"/>
      <c r="F12" s="85"/>
    </row>
    <row r="15" spans="1:6" ht="15" customHeight="1">
      <c r="A15" s="13" t="s">
        <v>369</v>
      </c>
      <c r="B15" s="13" t="s">
        <v>352</v>
      </c>
      <c r="C15" s="13" t="s">
        <v>380</v>
      </c>
      <c r="D15" s="13" t="s">
        <v>355</v>
      </c>
      <c r="E15" s="13" t="s">
        <v>381</v>
      </c>
      <c r="F15" s="13" t="s">
        <v>356</v>
      </c>
    </row>
    <row r="16" spans="1:6" ht="15">
      <c r="A16" s="91" t="s">
        <v>370</v>
      </c>
      <c r="B16" s="91">
        <v>3</v>
      </c>
      <c r="C16" s="91" t="s">
        <v>377</v>
      </c>
      <c r="D16" s="91">
        <v>2</v>
      </c>
      <c r="E16" s="91" t="s">
        <v>375</v>
      </c>
      <c r="F16" s="91">
        <v>3</v>
      </c>
    </row>
    <row r="17" spans="1:6" ht="15">
      <c r="A17" s="91" t="s">
        <v>371</v>
      </c>
      <c r="B17" s="91">
        <v>2</v>
      </c>
      <c r="C17" s="91" t="s">
        <v>378</v>
      </c>
      <c r="D17" s="91">
        <v>2</v>
      </c>
      <c r="E17" s="91" t="s">
        <v>376</v>
      </c>
      <c r="F17" s="91">
        <v>3</v>
      </c>
    </row>
    <row r="18" spans="1:6" ht="15">
      <c r="A18" s="91" t="s">
        <v>372</v>
      </c>
      <c r="B18" s="91">
        <v>0</v>
      </c>
      <c r="C18" s="91"/>
      <c r="D18" s="91"/>
      <c r="E18" s="91" t="s">
        <v>382</v>
      </c>
      <c r="F18" s="91">
        <v>2</v>
      </c>
    </row>
    <row r="19" spans="1:6" ht="15">
      <c r="A19" s="91" t="s">
        <v>373</v>
      </c>
      <c r="B19" s="91">
        <v>82</v>
      </c>
      <c r="C19" s="91"/>
      <c r="D19" s="91"/>
      <c r="E19" s="91" t="s">
        <v>383</v>
      </c>
      <c r="F19" s="91">
        <v>2</v>
      </c>
    </row>
    <row r="20" spans="1:6" ht="15">
      <c r="A20" s="91" t="s">
        <v>374</v>
      </c>
      <c r="B20" s="91">
        <v>87</v>
      </c>
      <c r="C20" s="91"/>
      <c r="D20" s="91"/>
      <c r="E20" s="91" t="s">
        <v>384</v>
      </c>
      <c r="F20" s="91">
        <v>2</v>
      </c>
    </row>
    <row r="21" spans="1:6" ht="15">
      <c r="A21" s="91" t="s">
        <v>375</v>
      </c>
      <c r="B21" s="91">
        <v>3</v>
      </c>
      <c r="C21" s="91"/>
      <c r="D21" s="91"/>
      <c r="E21" s="91" t="s">
        <v>385</v>
      </c>
      <c r="F21" s="91">
        <v>2</v>
      </c>
    </row>
    <row r="22" spans="1:6" ht="15">
      <c r="A22" s="91" t="s">
        <v>376</v>
      </c>
      <c r="B22" s="91">
        <v>3</v>
      </c>
      <c r="C22" s="91"/>
      <c r="D22" s="91"/>
      <c r="E22" s="91" t="s">
        <v>386</v>
      </c>
      <c r="F22" s="91">
        <v>2</v>
      </c>
    </row>
    <row r="23" spans="1:6" ht="15">
      <c r="A23" s="91" t="s">
        <v>377</v>
      </c>
      <c r="B23" s="91">
        <v>2</v>
      </c>
      <c r="C23" s="91"/>
      <c r="D23" s="91"/>
      <c r="E23" s="91" t="s">
        <v>387</v>
      </c>
      <c r="F23" s="91">
        <v>2</v>
      </c>
    </row>
    <row r="24" spans="1:6" ht="15">
      <c r="A24" s="91" t="s">
        <v>378</v>
      </c>
      <c r="B24" s="91">
        <v>2</v>
      </c>
      <c r="C24" s="91"/>
      <c r="D24" s="91"/>
      <c r="E24" s="91"/>
      <c r="F24" s="91"/>
    </row>
    <row r="25" spans="1:6" ht="15">
      <c r="A25" s="91" t="s">
        <v>379</v>
      </c>
      <c r="B25" s="91">
        <v>2</v>
      </c>
      <c r="C25" s="91"/>
      <c r="D25" s="91"/>
      <c r="E25" s="91"/>
      <c r="F25" s="91"/>
    </row>
    <row r="28" spans="1:6" ht="15" customHeight="1">
      <c r="A28" s="13" t="s">
        <v>391</v>
      </c>
      <c r="B28" s="13" t="s">
        <v>352</v>
      </c>
      <c r="C28" s="85" t="s">
        <v>399</v>
      </c>
      <c r="D28" s="85" t="s">
        <v>355</v>
      </c>
      <c r="E28" s="13" t="s">
        <v>400</v>
      </c>
      <c r="F28" s="13" t="s">
        <v>356</v>
      </c>
    </row>
    <row r="29" spans="1:6" ht="15">
      <c r="A29" s="91" t="s">
        <v>392</v>
      </c>
      <c r="B29" s="91">
        <v>3</v>
      </c>
      <c r="C29" s="91"/>
      <c r="D29" s="91"/>
      <c r="E29" s="91" t="s">
        <v>392</v>
      </c>
      <c r="F29" s="91">
        <v>3</v>
      </c>
    </row>
    <row r="30" spans="1:6" ht="15">
      <c r="A30" s="91" t="s">
        <v>393</v>
      </c>
      <c r="B30" s="91">
        <v>2</v>
      </c>
      <c r="C30" s="91"/>
      <c r="D30" s="91"/>
      <c r="E30" s="91" t="s">
        <v>393</v>
      </c>
      <c r="F30" s="91">
        <v>2</v>
      </c>
    </row>
    <row r="31" spans="1:6" ht="15">
      <c r="A31" s="91" t="s">
        <v>394</v>
      </c>
      <c r="B31" s="91">
        <v>2</v>
      </c>
      <c r="C31" s="91"/>
      <c r="D31" s="91"/>
      <c r="E31" s="91" t="s">
        <v>394</v>
      </c>
      <c r="F31" s="91">
        <v>2</v>
      </c>
    </row>
    <row r="32" spans="1:6" ht="15">
      <c r="A32" s="91" t="s">
        <v>395</v>
      </c>
      <c r="B32" s="91">
        <v>2</v>
      </c>
      <c r="C32" s="91"/>
      <c r="D32" s="91"/>
      <c r="E32" s="91" t="s">
        <v>395</v>
      </c>
      <c r="F32" s="91">
        <v>2</v>
      </c>
    </row>
    <row r="33" spans="1:6" ht="15">
      <c r="A33" s="91" t="s">
        <v>396</v>
      </c>
      <c r="B33" s="91">
        <v>2</v>
      </c>
      <c r="C33" s="91"/>
      <c r="D33" s="91"/>
      <c r="E33" s="91" t="s">
        <v>396</v>
      </c>
      <c r="F33" s="91">
        <v>2</v>
      </c>
    </row>
    <row r="34" spans="1:6" ht="15">
      <c r="A34" s="91" t="s">
        <v>397</v>
      </c>
      <c r="B34" s="91">
        <v>2</v>
      </c>
      <c r="C34" s="91"/>
      <c r="D34" s="91"/>
      <c r="E34" s="91" t="s">
        <v>397</v>
      </c>
      <c r="F34" s="91">
        <v>2</v>
      </c>
    </row>
    <row r="35" spans="1:6" ht="15">
      <c r="A35" s="91" t="s">
        <v>398</v>
      </c>
      <c r="B35" s="91">
        <v>2</v>
      </c>
      <c r="C35" s="91"/>
      <c r="D35" s="91"/>
      <c r="E35" s="91" t="s">
        <v>398</v>
      </c>
      <c r="F35" s="91">
        <v>2</v>
      </c>
    </row>
    <row r="38" spans="1:6" ht="15" customHeight="1">
      <c r="A38" s="85" t="s">
        <v>403</v>
      </c>
      <c r="B38" s="85" t="s">
        <v>352</v>
      </c>
      <c r="C38" s="85" t="s">
        <v>405</v>
      </c>
      <c r="D38" s="85" t="s">
        <v>355</v>
      </c>
      <c r="E38" s="85" t="s">
        <v>406</v>
      </c>
      <c r="F38" s="85" t="s">
        <v>356</v>
      </c>
    </row>
    <row r="39" spans="1:6" ht="15">
      <c r="A39" s="85"/>
      <c r="B39" s="85"/>
      <c r="C39" s="85"/>
      <c r="D39" s="85"/>
      <c r="E39" s="85"/>
      <c r="F39" s="85"/>
    </row>
    <row r="41" spans="1:6" ht="15" customHeight="1">
      <c r="A41" s="13" t="s">
        <v>404</v>
      </c>
      <c r="B41" s="13" t="s">
        <v>352</v>
      </c>
      <c r="C41" s="13" t="s">
        <v>407</v>
      </c>
      <c r="D41" s="13" t="s">
        <v>355</v>
      </c>
      <c r="E41" s="13" t="s">
        <v>408</v>
      </c>
      <c r="F41" s="13" t="s">
        <v>356</v>
      </c>
    </row>
    <row r="42" spans="1:6" ht="15">
      <c r="A42" s="85" t="s">
        <v>216</v>
      </c>
      <c r="B42" s="85">
        <v>1</v>
      </c>
      <c r="C42" s="85" t="s">
        <v>216</v>
      </c>
      <c r="D42" s="85">
        <v>1</v>
      </c>
      <c r="E42" s="85" t="s">
        <v>212</v>
      </c>
      <c r="F42" s="85">
        <v>1</v>
      </c>
    </row>
    <row r="43" spans="1:6" ht="15">
      <c r="A43" s="85" t="s">
        <v>215</v>
      </c>
      <c r="B43" s="85">
        <v>1</v>
      </c>
      <c r="C43" s="85" t="s">
        <v>215</v>
      </c>
      <c r="D43" s="85">
        <v>1</v>
      </c>
      <c r="E43" s="85"/>
      <c r="F43" s="85"/>
    </row>
    <row r="44" spans="1:6" ht="15">
      <c r="A44" s="85" t="s">
        <v>212</v>
      </c>
      <c r="B44" s="85">
        <v>1</v>
      </c>
      <c r="C44" s="85"/>
      <c r="D44" s="85"/>
      <c r="E44" s="85"/>
      <c r="F44" s="85"/>
    </row>
    <row r="47" spans="1:6" ht="15" customHeight="1">
      <c r="A47" s="13" t="s">
        <v>412</v>
      </c>
      <c r="B47" s="13" t="s">
        <v>352</v>
      </c>
      <c r="C47" s="13" t="s">
        <v>413</v>
      </c>
      <c r="D47" s="13" t="s">
        <v>355</v>
      </c>
      <c r="E47" s="13" t="s">
        <v>414</v>
      </c>
      <c r="F47" s="13" t="s">
        <v>356</v>
      </c>
    </row>
    <row r="48" spans="1:6" ht="15">
      <c r="A48" s="124" t="s">
        <v>215</v>
      </c>
      <c r="B48" s="85">
        <v>455827</v>
      </c>
      <c r="C48" s="124" t="s">
        <v>215</v>
      </c>
      <c r="D48" s="85">
        <v>455827</v>
      </c>
      <c r="E48" s="124" t="s">
        <v>212</v>
      </c>
      <c r="F48" s="85">
        <v>27826</v>
      </c>
    </row>
    <row r="49" spans="1:6" ht="15">
      <c r="A49" s="124" t="s">
        <v>212</v>
      </c>
      <c r="B49" s="85">
        <v>27826</v>
      </c>
      <c r="C49" s="124" t="s">
        <v>216</v>
      </c>
      <c r="D49" s="85">
        <v>580</v>
      </c>
      <c r="E49" s="124" t="s">
        <v>213</v>
      </c>
      <c r="F49" s="85">
        <v>6807</v>
      </c>
    </row>
    <row r="50" spans="1:6" ht="15">
      <c r="A50" s="124" t="s">
        <v>213</v>
      </c>
      <c r="B50" s="85">
        <v>6807</v>
      </c>
      <c r="C50" s="124" t="s">
        <v>214</v>
      </c>
      <c r="D50" s="85">
        <v>326</v>
      </c>
      <c r="E50" s="124"/>
      <c r="F50" s="85"/>
    </row>
    <row r="51" spans="1:6" ht="15">
      <c r="A51" s="124" t="s">
        <v>216</v>
      </c>
      <c r="B51" s="85">
        <v>580</v>
      </c>
      <c r="C51" s="124"/>
      <c r="D51" s="85"/>
      <c r="E51" s="124"/>
      <c r="F51" s="85"/>
    </row>
    <row r="52" spans="1:6" ht="15">
      <c r="A52" s="124" t="s">
        <v>214</v>
      </c>
      <c r="B52" s="85">
        <v>326</v>
      </c>
      <c r="C52" s="124"/>
      <c r="D52" s="85"/>
      <c r="E52" s="124"/>
      <c r="F52" s="85"/>
    </row>
  </sheetData>
  <hyperlinks>
    <hyperlink ref="A2" r:id="rId1" display="https://www.theglobeandmail.com/canada/article-toronto-researchers-uncover-neurochemicals-role-in-fighting-infection/?utm_medium=Referrer:+Social+Network+/+Media&amp;utm_campaign=Shared+Web+Article+Links"/>
    <hyperlink ref="C2" r:id="rId2" display="https://www.theglobeandmail.com/canada/article-toronto-researchers-uncover-neurochemicals-role-in-fighting-infection/?utm_medium=Referrer:+Social+Network+/+Media&amp;utm_campaign=Shared+Web+Article+Links"/>
  </hyperlinks>
  <printOptions/>
  <pageMargins left="0.7" right="0.7" top="0.75" bottom="0.75" header="0.3" footer="0.3"/>
  <pageSetup orientation="portrait" paperSize="9"/>
  <tableParts>
    <tablePart r:id="rId6"/>
    <tablePart r:id="rId8"/>
    <tablePart r:id="rId5"/>
    <tablePart r:id="rId7"/>
    <tablePart r:id="rId4"/>
    <tablePart r:id="rId10"/>
    <tablePart r:id="rId9"/>
    <tablePart r:id="rId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2019-04-25T15:59:32Z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