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5.xml" ContentType="application/vnd.openxmlformats-officedocument.spreadsheetml.table+xml"/>
  <Override PartName="/xl/tables/table13.xml" ContentType="application/vnd.openxmlformats-officedocument.spreadsheetml.table+xml"/>
  <Override PartName="/xl/tables/table12.xml" ContentType="application/vnd.openxmlformats-officedocument.spreadsheetml.table+xml"/>
  <Override PartName="/xl/tables/table17.xml" ContentType="application/vnd.openxmlformats-officedocument.spreadsheetml.table+xml"/>
  <Override PartName="/xl/tables/table14.xml" ContentType="application/vnd.openxmlformats-officedocument.spreadsheetml.table+xml"/>
  <Override PartName="/xl/tables/table16.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1"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Group Edges" sheetId="8" r:id="rId8"/>
    <sheet name="Twitter Search Ntwrk Top Items" sheetId="9" r:id="rId9"/>
    <sheet name="Words" sheetId="10" r:id="rId10"/>
    <sheet name="Word Pairs" sheetId="11" r:id="rId11"/>
    <sheet name="Top Items" sheetId="12" r:id="rId12"/>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C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D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0">
      <text>
        <r>
          <rPr>
            <b/>
            <sz val="8"/>
            <rFont val="Tahoma"/>
            <family val="2"/>
          </rPr>
          <t xml:space="preserve">Vertex Size
</t>
        </r>
        <r>
          <rPr>
            <sz val="8"/>
            <rFont val="Tahoma"/>
            <family val="2"/>
          </rPr>
          <t xml:space="preserve">
Enter an optional vertex size between 1 and 1,000.</t>
        </r>
      </text>
    </comment>
    <comment ref="F2" authorId="0">
      <text>
        <r>
          <rPr>
            <b/>
            <sz val="8"/>
            <rFont val="Tahoma"/>
            <family val="2"/>
          </rPr>
          <t xml:space="preserve">Vertex Opacity
</t>
        </r>
        <r>
          <rPr>
            <sz val="8"/>
            <rFont val="Tahoma"/>
            <family val="2"/>
          </rPr>
          <t xml:space="preserve">
Enter an optional vertex opacity between 0 (transparent) and 100 (opaque).</t>
        </r>
      </text>
    </comment>
    <comment ref="G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H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I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J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K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L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M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P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Q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R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S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T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X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Y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Z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AA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B2" authorId="0">
      <text>
        <r>
          <rPr>
            <b/>
            <sz val="8"/>
            <rFont val="Tahoma"/>
            <family val="2"/>
          </rPr>
          <t xml:space="preserve">Vertex ID
</t>
        </r>
        <r>
          <rPr>
            <sz val="8"/>
            <rFont val="Tahoma"/>
            <family val="2"/>
          </rPr>
          <t xml:space="preserve">
This is a unique ID that gets filled in automatically.  Do not edit this column.</t>
        </r>
      </text>
    </comment>
    <comment ref="AD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<sst xmlns="http://schemas.openxmlformats.org/spreadsheetml/2006/main" count="2598" uniqueCount="913">
  <si>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</si>
  <si>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</si>
  <si>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</si>
  <si>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</si>
  <si>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</si>
  <si>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</si>
  <si>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</si>
  <si>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</si>
  <si>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</si>
  <si>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</si>
  <si>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</si>
  <si>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</si>
  <si>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</si>
  <si>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</si>
  <si>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</si>
  <si>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</si>
  <si>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</si>
  <si>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</si>
  <si>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</si>
  <si>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</si>
  <si>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</si>
  <si>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</si>
  <si>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</si>
  <si>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</si>
  <si>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</si>
  <si>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</si>
  <si>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</si>
  <si>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</si>
  <si>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</si>
  <si>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</si>
  <si>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</si>
  <si>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</si>
  <si>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</si>
  <si>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</si>
  <si>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</si>
  <si>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</si>
  <si>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</si>
  <si>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</si>
  <si>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</si>
  <si>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</si>
  <si>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</si>
  <si>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</si>
  <si>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</si>
  <si>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</si>
  <si>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</si>
  <si>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</si>
  <si>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</si>
  <si>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</si>
  <si>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</si>
  <si>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</si>
  <si>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</si>
  <si>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</si>
  <si>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</si>
  <si>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</si>
  <si>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</si>
  <si>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</si>
  <si>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</si>
  <si>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</si>
  <si>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</si>
  <si>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</si>
  <si>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</si>
  <si>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</si>
  <si>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</si>
  <si>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</si>
  <si>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</si>
  <si>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</si>
  <si>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</si>
  <si>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</si>
  <si>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</si>
  <si>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</si>
  <si>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</si>
  <si>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</si>
  <si>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</si>
  <si>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</si>
  <si>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</si>
  <si>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</si>
  <si>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</si>
  <si>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</si>
  <si>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</si>
  <si>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</si>
  <si>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</si>
  <si>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</si>
  <si>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</si>
  <si>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</si>
  <si>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</si>
  <si>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</si>
  <si>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</si>
  <si>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</si>
  <si>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</si>
  <si>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</si>
  <si>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</si>
  <si>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</si>
  <si>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</si>
  <si>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</si>
  <si>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</si>
  <si>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</si>
  <si>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</si>
  <si>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</si>
  <si>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</si>
  <si>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</si>
  <si>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</si>
  <si>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</si>
  <si>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</si>
  <si>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</si>
  <si>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</si>
  <si>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</si>
  <si>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</si>
  <si>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</si>
  <si>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</si>
  <si>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</si>
  <si>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</si>
  <si>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</si>
  <si>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</si>
  <si>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</si>
  <si>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</si>
  <si>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</si>
  <si>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</si>
  <si>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</si>
  <si>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</si>
  <si>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</si>
  <si>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</si>
  <si>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</si>
  <si>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</si>
  <si>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</si>
  <si>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</si>
  <si>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</si>
  <si>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</si>
  <si>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</si>
  <si>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</si>
  <si>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</si>
  <si>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</si>
  <si>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</si>
  <si>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</si>
  <si>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</si>
  <si>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</si>
  <si>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</si>
  <si>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</si>
  <si>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</si>
  <si>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</si>
  <si>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</si>
  <si>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</si>
  <si>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</si>
  <si>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</si>
  <si>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</si>
  <si>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</si>
  <si>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</si>
  <si>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</si>
  <si>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</si>
  <si>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</si>
  <si>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</si>
  <si>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</si>
  <si>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</si>
  <si>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</si>
  <si>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</si>
  <si>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</si>
  <si>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</si>
  <si>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</si>
  <si>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</si>
  <si>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</si>
  <si>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</si>
  <si>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</si>
  <si>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</si>
  <si>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</si>
  <si>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</si>
  <si>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</si>
  <si>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</si>
  <si>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</si>
  <si>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</si>
  <si>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</si>
  <si>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</si>
  <si>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</si>
  <si>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</si>
  <si>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</si>
  <si>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</si>
  <si>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</si>
  <si>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</si>
  <si>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</si>
  <si>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</si>
  <si>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</si>
  <si>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</si>
  <si>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</si>
  <si>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</si>
  <si>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</si>
  <si>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</si>
  <si>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</si>
  <si>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</si>
  <si>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</si>
  <si>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</si>
  <si>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</si>
  <si>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</si>
  <si>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</si>
  <si>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</si>
  <si>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</si>
  <si>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</si>
  <si>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</si>
  <si>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</si>
  <si>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</si>
  <si>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</si>
  <si>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</si>
  <si>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</si>
  <si>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</si>
  <si>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</si>
  <si>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</si>
  <si>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</si>
  <si>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</si>
  <si>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</si>
  <si>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</si>
  <si>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</si>
  <si>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</si>
  <si>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</si>
  <si>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</si>
  <si>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</si>
  <si>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rebekahktromble</t>
  </si>
  <si>
    <t>jhblackb</t>
  </si>
  <si>
    <t>idramalab</t>
  </si>
  <si>
    <t>emilianoucl</t>
  </si>
  <si>
    <t>gianluca_string</t>
  </si>
  <si>
    <t>diegocaro</t>
  </si>
  <si>
    <t>gonzalobarria</t>
  </si>
  <si>
    <t>pauvasquezh</t>
  </si>
  <si>
    <t>aastroza</t>
  </si>
  <si>
    <t>franvarela</t>
  </si>
  <si>
    <t>elmanujano</t>
  </si>
  <si>
    <t>carnby</t>
  </si>
  <si>
    <t>congosto</t>
  </si>
  <si>
    <t>michaelzimmer</t>
  </si>
  <si>
    <t>jvitak</t>
  </si>
  <si>
    <t>olyerickson</t>
  </si>
  <si>
    <t>khourycollege</t>
  </si>
  <si>
    <t>miz_oka</t>
  </si>
  <si>
    <t>exdwarf</t>
  </si>
  <si>
    <t>damewendydbe</t>
  </si>
  <si>
    <t>pervade_team</t>
  </si>
  <si>
    <t>dchatzakou</t>
  </si>
  <si>
    <t>datascienceudd</t>
  </si>
  <si>
    <t>theofficialacm</t>
  </si>
  <si>
    <t>nytimes</t>
  </si>
  <si>
    <t>faizapatelbcj</t>
  </si>
  <si>
    <t>floodserveu</t>
  </si>
  <si>
    <t>Mentions</t>
  </si>
  <si>
    <t>Replies to</t>
  </si>
  <si>
    <t>RT @michaelzimmer: If you'll be at #WebSci19 next week it's not too late to sign up for the @pervade_team tutorial on "Web Research Ethics:…</t>
  </si>
  <si>
    <t>RT @emilianoucl: Congrats to @dchatzakou et al. -- our paper "Detecting Cyberbullying and Cyberaggression in Social Media" has been accepte…</t>
  </si>
  <si>
    <t>Congrats to @dchatzakou et al. -- our paper "Detecting Cyberbullying and Cyberaggression in Social Media" has been accepted at ACM TWEB. This is an significantly extended version of various results previously presented at WebSci, HyperText, and CyberSafety. Final version soon out https://t.co/x02ds54oKL</t>
  </si>
  <si>
    <t>RT @carnby: Mañana comienza ACM WebSci'19, en Boston. Desde @DataScienceUDD presentaremos dos trabajos relacionados con el uso de Twitter p…</t>
  </si>
  <si>
    <t>Mañana comienza ACM WebSci'19, en Boston. Desde @DataScienceUDD presentaremos dos trabajos relacionados con el uso de Twitter para estudiar fenómenos sociales. Aquí un resumen de ellos:</t>
  </si>
  <si>
    <t>If you'll be at #WebSci19 next week it's not too late to sign up for the @pervade_team tutorial on "Web Research Ethics: Confidentiality, Consent, Data Integrity &amp;amp; More" Join us June 30 to engage with issues of #ethics, #privacy, and #consent. https://t.co/7jVKn7RyeD</t>
  </si>
  <si>
    <t>@jvitak 0/2 with ethics workshops at @TheOfficialACM WebSci conferences.</t>
  </si>
  <si>
    <t>@michaelzimmer @TheOfficialACM I’ve never been to WebSci but that is not a heartening stat.</t>
  </si>
  <si>
    <t>Stop Collecting Immigrants’ Social Media Data: The Trump administration is continuing a bad policy that doesn’t make us safer. https://t.co/8grNgpk1sX by @FaizaPatelBCJ via @nytimes cc #webscience #websci #WebSci19</t>
  </si>
  <si>
    <t>WebSci ‘19 starts Sunday! Researchers across the disciplines tackle topics on the web and emotional well-being, fairness and equality, fake news, and user behavior. Register and find out more: https://t.co/6wS6JHR4D8 https://t.co/5qLOPO9gn1</t>
  </si>
  <si>
    <t>It's the second day of talks, posters, and paper sessions at WebSci ’19, a major international conference bringing together pioneers and researchers in the interdisciplinary field of Web Science: https://t.co/6wS6JHR4D8 #WebSci19 https://t.co/nGo0m02t1J</t>
  </si>
  <si>
    <t>WebSci'19 in Boston.  https://t.co/HSuljfJupT 
今日のkeynote は、Sandra Gonzalez-Bailon　
https://t.co/Rf9XzcMlXv</t>
  </si>
  <si>
    <t>Keynote at WebSCI'19 "Decoding the Social World" https://t.co/EIw6l8YsM5</t>
  </si>
  <si>
    <t>websci会議、2日目。Keynote by Fabien Gandon from Inria. https://t.co/f1V896Iv39</t>
  </si>
  <si>
    <t>Keynote by Fabien Gandon at Websci Boston day 3 #websci19 @FLOODservEU https://t.co/A9udtkgyPe</t>
  </si>
  <si>
    <t>RT @Exdwarf: Keynote by Fabien Gandon at Websci Boston day 3 #websci19 @FLOODservEU https://t.co/A9udtkgyPe</t>
  </si>
  <si>
    <t>Websci 2019 Boston keynote speach #WebSci19 https://t.co/4C6oNLn0PN</t>
  </si>
  <si>
    <t>Exdwarf presenting poster at Websci 2019 Boston #WebSci19  #floodserv https://t.co/fJZRogJdmI</t>
  </si>
  <si>
    <t>https://pervade.umd.edu/event/websci-19/</t>
  </si>
  <si>
    <t>https://www.nytimes.com/2019/06/30/opinion/immigrants-social-media.html</t>
  </si>
  <si>
    <t>https://www.khoury.northeastern.edu/general/acm-websci-19-at-northeastern-brings-together-experts-from-many-disciplines/</t>
  </si>
  <si>
    <t>https://websci19.webscience.org/ https://websci19.webscience.org/speakers.html</t>
  </si>
  <si>
    <t>https://twitter.com/CChelmis/status/1146043799187206144</t>
  </si>
  <si>
    <t>umd.edu</t>
  </si>
  <si>
    <t>nytimes.com</t>
  </si>
  <si>
    <t>northeastern.edu</t>
  </si>
  <si>
    <t>webscience.org webscience.org</t>
  </si>
  <si>
    <t>twitter.com</t>
  </si>
  <si>
    <t>websci19</t>
  </si>
  <si>
    <t>websci19 ethics privacy consent</t>
  </si>
  <si>
    <t>webscience websci websci19</t>
  </si>
  <si>
    <t>websci19 floodserv</t>
  </si>
  <si>
    <t>https://pbs.twimg.com/media/D9282JEXYAETRnW.jpg</t>
  </si>
  <si>
    <t>https://pbs.twimg.com/media/D-Fb8ELX4AEmJZS.jpg</t>
  </si>
  <si>
    <t>https://pbs.twimg.com/media/D-aQCOuXsAAFLLq.jpg</t>
  </si>
  <si>
    <t>https://pbs.twimg.com/media/D-ZIz-qVUAALFRg.jpg</t>
  </si>
  <si>
    <t>https://pbs.twimg.com/media/D-eQ-PxUIAA1_07.jpg</t>
  </si>
  <si>
    <t>https://pbs.twimg.com/media/D-aWaCEU8AAvxkC.jpg</t>
  </si>
  <si>
    <t>https://pbs.twimg.com/media/D-aWzU9UwAArnP_.jpg</t>
  </si>
  <si>
    <t>http://pbs.twimg.com/profile_images/864450427932114945/Ih-T5zEA_normal.jpg</t>
  </si>
  <si>
    <t>http://pbs.twimg.com/profile_images/841803825665187841/-Ok2hipH_normal.jpg</t>
  </si>
  <si>
    <t>http://pbs.twimg.com/profile_images/882983595744165889/1cDtYfZV_normal.jpg</t>
  </si>
  <si>
    <t>http://pbs.twimg.com/profile_images/858732102862483456/rzI0kX-i_normal.jpg</t>
  </si>
  <si>
    <t>http://pbs.twimg.com/profile_images/1137426815759376384/DkfmSuOK_normal.jpg</t>
  </si>
  <si>
    <t>http://pbs.twimg.com/profile_images/976301563869265920/WXyNjkFo_normal.jpg</t>
  </si>
  <si>
    <t>http://pbs.twimg.com/profile_images/1087888820811558918/dwfYBqPD_normal.jpg</t>
  </si>
  <si>
    <t>http://pbs.twimg.com/profile_images/512724353432051712/u9vs2gOS_normal.jpeg</t>
  </si>
  <si>
    <t>http://pbs.twimg.com/profile_images/769933008250044416/3iCc7nAn_normal.jpg</t>
  </si>
  <si>
    <t>http://pbs.twimg.com/profile_images/3464150917/7618ea0fe388b345e2450cee465a4ea1_normal.jpeg</t>
  </si>
  <si>
    <t>http://pbs.twimg.com/profile_images/1025114534095273986/pnFxrGbv_normal.jpg</t>
  </si>
  <si>
    <t>http://pbs.twimg.com/profile_images/728984748677341184/a42Pkbh3_normal.jpg</t>
  </si>
  <si>
    <t>http://pbs.twimg.com/profile_images/931731378621812736/w8VzS6SD_normal.jpg</t>
  </si>
  <si>
    <t>http://pbs.twimg.com/profile_images/754859214544175104/7Xk06_Hr_normal.jpg</t>
  </si>
  <si>
    <t>http://pbs.twimg.com/profile_images/1205664680/erickson_twit_normal.jpg</t>
  </si>
  <si>
    <t>http://pbs.twimg.com/profile_images/378800000697318472/3ac4ee14df618921c5617e6fc0d6c092_normal.jpeg</t>
  </si>
  <si>
    <t>https://twitter.com/#!/rebekahktromble/status/1143180934373609473</t>
  </si>
  <si>
    <t>https://twitter.com/#!/jhblackb/status/1143278279056605184</t>
  </si>
  <si>
    <t>https://twitter.com/#!/idramalab/status/1143278323646287872</t>
  </si>
  <si>
    <t>https://twitter.com/#!/emilianoucl/status/1143277735839711232</t>
  </si>
  <si>
    <t>https://twitter.com/#!/gianluca_string/status/1143278517733535745</t>
  </si>
  <si>
    <t>https://twitter.com/#!/diegocaro/status/1145015127407767554</t>
  </si>
  <si>
    <t>https://twitter.com/#!/gonzalobarria/status/1145019813661741056</t>
  </si>
  <si>
    <t>https://twitter.com/#!/pauvasquezh/status/1145082300117540869</t>
  </si>
  <si>
    <t>https://twitter.com/#!/aastroza/status/1145134995847168000</t>
  </si>
  <si>
    <t>https://twitter.com/#!/franvarela/status/1145341694747041793</t>
  </si>
  <si>
    <t>https://twitter.com/#!/elmanujano/status/1145359922202386434</t>
  </si>
  <si>
    <t>https://twitter.com/#!/carnby/status/1145013848279322627</t>
  </si>
  <si>
    <t>https://twitter.com/#!/congosto/status/1145378294780575744</t>
  </si>
  <si>
    <t>https://twitter.com/#!/michaelzimmer/status/1143176228196798465</t>
  </si>
  <si>
    <t>https://twitter.com/#!/michaelzimmer/status/1145448887345385472</t>
  </si>
  <si>
    <t>https://twitter.com/#!/jvitak/status/1145463292904783872</t>
  </si>
  <si>
    <t>https://twitter.com/#!/olyerickson/status/1145633166499241984</t>
  </si>
  <si>
    <t>https://twitter.com/#!/khourycollege/status/1144296869532766208</t>
  </si>
  <si>
    <t>https://twitter.com/#!/khourycollege/status/1145761536469798914</t>
  </si>
  <si>
    <t>https://twitter.com/#!/miz_oka/status/1145659899281641472</t>
  </si>
  <si>
    <t>https://twitter.com/#!/miz_oka/status/1145683226607833088</t>
  </si>
  <si>
    <t>https://twitter.com/#!/miz_oka/status/1146044184144388096</t>
  </si>
  <si>
    <t>https://twitter.com/#!/exdwarf/status/1146044054095818752</t>
  </si>
  <si>
    <t>https://twitter.com/#!/damewendydbe/status/1146056613901418498</t>
  </si>
  <si>
    <t>https://twitter.com/#!/exdwarf/status/1145768538247815169</t>
  </si>
  <si>
    <t>https://twitter.com/#!/exdwarf/status/1145768973994094592</t>
  </si>
  <si>
    <t>1143180934373609473</t>
  </si>
  <si>
    <t>1143278279056605184</t>
  </si>
  <si>
    <t>1143278323646287872</t>
  </si>
  <si>
    <t>1143277735839711232</t>
  </si>
  <si>
    <t>1143278517733535745</t>
  </si>
  <si>
    <t>1145015127407767554</t>
  </si>
  <si>
    <t>1145019813661741056</t>
  </si>
  <si>
    <t>1145082300117540869</t>
  </si>
  <si>
    <t>1145134995847168000</t>
  </si>
  <si>
    <t>1145341694747041793</t>
  </si>
  <si>
    <t>1145359922202386434</t>
  </si>
  <si>
    <t>1145013848279322627</t>
  </si>
  <si>
    <t>1145378294780575744</t>
  </si>
  <si>
    <t>1143176228196798465</t>
  </si>
  <si>
    <t>1145448887345385472</t>
  </si>
  <si>
    <t>1145463292904783872</t>
  </si>
  <si>
    <t>1145633166499241984</t>
  </si>
  <si>
    <t>1144296869532766208</t>
  </si>
  <si>
    <t>1145761536469798914</t>
  </si>
  <si>
    <t>1145659899281641472</t>
  </si>
  <si>
    <t>1145683226607833088</t>
  </si>
  <si>
    <t>1146044184144388096</t>
  </si>
  <si>
    <t>1146044054095818752</t>
  </si>
  <si>
    <t>1146056613901418498</t>
  </si>
  <si>
    <t>1145768538247815169</t>
  </si>
  <si>
    <t>1145768973994094592</t>
  </si>
  <si>
    <t>1145440986715344896</t>
  </si>
  <si>
    <t/>
  </si>
  <si>
    <t>94384796</t>
  </si>
  <si>
    <t>6168682</t>
  </si>
  <si>
    <t>en</t>
  </si>
  <si>
    <t>es</t>
  </si>
  <si>
    <t>ja</t>
  </si>
  <si>
    <t>1146043799187206144</t>
  </si>
  <si>
    <t>Twitter for Android</t>
  </si>
  <si>
    <t>Twitter Web Client</t>
  </si>
  <si>
    <t>Twitter Web App</t>
  </si>
  <si>
    <t>Twitter for iPhone</t>
  </si>
  <si>
    <t>Sprout Social</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</si>
  <si>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</si>
  <si>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</si>
  <si>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</si>
  <si>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</si>
  <si>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</si>
  <si>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</si>
  <si>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</si>
  <si>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</si>
  <si>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</si>
  <si>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</si>
  <si>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</si>
  <si>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</si>
  <si>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</si>
  <si>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</si>
  <si>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</si>
  <si>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</si>
  <si>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</si>
  <si>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</si>
  <si>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</si>
  <si>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</si>
  <si>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</si>
  <si>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Rebekah Tromble</t>
  </si>
  <si>
    <t>PERVADE: Pervasive Data Ethics</t>
  </si>
  <si>
    <t>Michael Zimmer</t>
  </si>
  <si>
    <t>Jeremy Blackburn</t>
  </si>
  <si>
    <t>Despoina Chatzakou</t>
  </si>
  <si>
    <t>Emiliano DC</t>
  </si>
  <si>
    <t>iDRAMA Lab</t>
  </si>
  <si>
    <t>Gianluca Stringhini</t>
  </si>
  <si>
    <t>Diego Caro</t>
  </si>
  <si>
    <t>DataScienceUDD</t>
  </si>
  <si>
    <t>Eduardo Graells-Garrido _xD83D__xDC9A_</t>
  </si>
  <si>
    <t>Gonzalo Barría Pérez</t>
  </si>
  <si>
    <t>Paula Vásquez-Henríquez</t>
  </si>
  <si>
    <t>Alonso Astroza</t>
  </si>
  <si>
    <t>Fran Varela</t>
  </si>
  <si>
    <t>Manuel Vargas</t>
  </si>
  <si>
    <t>Mariluz Congosto</t>
  </si>
  <si>
    <t>Official ACM</t>
  </si>
  <si>
    <t>Dr. Jessica Vitak</t>
  </si>
  <si>
    <t>John S. Erickson</t>
  </si>
  <si>
    <t>The New York Times</t>
  </si>
  <si>
    <t>Faiza Patel</t>
  </si>
  <si>
    <t>Northeastern University Khoury College</t>
  </si>
  <si>
    <t>Mizuki Oka/岡瑞起</t>
  </si>
  <si>
    <t>exdwarf.com</t>
  </si>
  <si>
    <t>FLOOD-serv EU Project</t>
  </si>
  <si>
    <t>Wendy Hall</t>
  </si>
  <si>
    <t>Asst Prof, Poli Sci, @UniLeiden | research on social media, digital discourse, digital methods &amp; ethics, computational social science</t>
  </si>
  <si>
    <t>NSF-Funded Pervasive Data Ethics for Computational Research: a multi-disciplinary project examining the reuse of personal/social data in computational research</t>
  </si>
  <si>
    <t>Privacy and internet ethics scholar. Associate Professor @MarquetteCS @MarquetteU (previously @uwmsois). I also run @ZuckerbergFiles. Opinions mine alone.</t>
  </si>
  <si>
    <t>Asst. Professor, Computer Science, University of Alabama at Birmingham. Co-author of 1st and 2nd peer-reviewed papers on rare Pepes. Meme scholar. #cuckademic</t>
  </si>
  <si>
    <t>Postdoctoral Researcher -- web data mining, with particular interest in data streams and social network analysis</t>
  </si>
  <si>
    <t>Associate Prof @uclcs @uclisec @turinginst @idramalab. @UCIrvine &amp; @PARCInc alumnus. Tweets self-destruct after 1 month.</t>
  </si>
  <si>
    <t>The International Data-driven Research for Advanced Modeling and Analysis Lab. We know #drama</t>
  </si>
  <si>
    <t>Assistant Professor at BU. Researching malware, cybercrime, cybersafety, disinformation.</t>
  </si>
  <si>
    <t>PhD in Computer Science. Working on Data Science, Network Science, Computational Social Science and Urban Mobility @DataScienceUDD @UDD_cl and @TidChile</t>
  </si>
  <si>
    <t>Data Science Institute, @ingenierosUDD, @UDD_cl</t>
  </si>
  <si>
    <t>「STAND NAME」 En Remolinos 「STAND MASTER」 Carnby / Detective / Pajarito
"Stand up, join us, Data Crusaders alive! We have the power to face the future"</t>
  </si>
  <si>
    <t>M.A. Political Science @ucatolica. Directiva en @El_Puclitico. Trabajo en @IMFDChile y @brkeconomy. Por siempre de @involucrate_uc #DataScience</t>
  </si>
  <si>
    <t>Data Scientist in the making • Tanganana • _xD83E__xDD17_ • Spa/Eng • no c llama</t>
  </si>
  <si>
    <t>Head of Strategy and Innovation @GeoVictoriaCL. mrhadoken @MTG_Arena. Podcast host @MagicsurChile. I love my wife @CsolangeS. We have two cats _xD83D__xDC08_</t>
  </si>
  <si>
    <t>Directora de @KodeaOrg</t>
  </si>
  <si>
    <t>Ing Civ Industrial y MBA. Creador de Centro Día Damos Vida, desde 2010, el 1ero en su tipo en Chile</t>
  </si>
  <si>
    <t>Investigando la propagación de mensajes y la caracterización de usuarios en Twitter. 
Hilos en https://t.co/fgt5tLflvJ Experimentos en https://t.co/mZ4BOtkjwq</t>
  </si>
  <si>
    <t>ACM is the world’s largest educational and scientific computing society with more than 100,000 members. Be Creative. Stay Connected. Keep Inventing.</t>
  </si>
  <si>
    <t>Prof @ischoolUMD &amp; @hcil_umd. Research focus: networked privacy, security, data ethics. HCI/CMC/CSCW. Spoonie. DMs open. she/her https://t.co/rlyPDoYq2W</t>
  </si>
  <si>
    <t>#rstats #DataScience #WebScience #SemanticWeb #Semantalytics @RPI (Newfound Lake, NH, USA)_xD83D__xDC27_</t>
  </si>
  <si>
    <t>"The Weekly" is our new TV series. Episodes air Sundays at 10 p.m. on FX and on Hulu the next day. 
News tips? Share them here: https://t.co/ghL9OoYKMM</t>
  </si>
  <si>
    <t>Co-Director, Liberty and National Security Program @brennancenter. Views are my own.</t>
  </si>
  <si>
    <t>The official Twitter account for @Northeastern's Khoury College of Computer Sciences</t>
  </si>
  <si>
    <t>筑波大学・准教授。ウェブサイエンス・人工生命。Alternative Machine Inc. 代表取締役。人工知能学会ウェブサイエンス研究会・主査。ALIFE Lab.ディレクター。『作って動かすALife』オライリー・ジャパンより発売中https://t.co/jQnO7uJXE1</t>
  </si>
  <si>
    <t>R&amp;D</t>
  </si>
  <si>
    <t>This project receives funding from the @EU_H2020 Research &amp; Innovation Programme. Any related tweets reflect only the views of the project owner.</t>
  </si>
  <si>
    <t>Passionate about Web Science, women in science and engineering, and shopping!</t>
  </si>
  <si>
    <t>Leiden, Netherlands</t>
  </si>
  <si>
    <t>College Park, MD</t>
  </si>
  <si>
    <t>Milwaukee, Wisconsin</t>
  </si>
  <si>
    <t>Birmingham, AL</t>
  </si>
  <si>
    <t>Greece</t>
  </si>
  <si>
    <t>London, England</t>
  </si>
  <si>
    <t>World Wide</t>
  </si>
  <si>
    <t>Boston, MA</t>
  </si>
  <si>
    <t>SCL</t>
  </si>
  <si>
    <t>Santiago, Chile</t>
  </si>
  <si>
    <t>Neo SCL</t>
  </si>
  <si>
    <t>Puerto Montt - Santiago, Chile</t>
  </si>
  <si>
    <t>Chile</t>
  </si>
  <si>
    <t>Madrid</t>
  </si>
  <si>
    <t>New York, NY</t>
  </si>
  <si>
    <t>Maryland</t>
  </si>
  <si>
    <t>43.636828, -71.737928</t>
  </si>
  <si>
    <t>New York City</t>
  </si>
  <si>
    <t>New York</t>
  </si>
  <si>
    <t>Boston | Seattle | Charlotte | San Francisco Bay Area | Toronto</t>
  </si>
  <si>
    <t>tokyo</t>
  </si>
  <si>
    <t>Slovakia</t>
  </si>
  <si>
    <t>https://t.co/vCD3GOcKmw</t>
  </si>
  <si>
    <t>https://t.co/4fS6oBSq8G</t>
  </si>
  <si>
    <t>https://t.co/0UCaSxpASf</t>
  </si>
  <si>
    <t>http://t.co/pvEpFMtrAm</t>
  </si>
  <si>
    <t>https://t.co/ShBBvqjUts</t>
  </si>
  <si>
    <t>https://t.co/dVAQ61heYx</t>
  </si>
  <si>
    <t>https://t.co/Rf2nsiXWa5</t>
  </si>
  <si>
    <t>https://t.co/Fgq8bvq7S2</t>
  </si>
  <si>
    <t>https://t.co/ZDRGafoQoB</t>
  </si>
  <si>
    <t>https://t.co/QtHZLFSPBs</t>
  </si>
  <si>
    <t>https://t.co/o6PzEgDsJg</t>
  </si>
  <si>
    <t>http://t.co/SeK1r2QYdR</t>
  </si>
  <si>
    <t>http://t.co/ELSb5fyD54</t>
  </si>
  <si>
    <t>https://t.co/6OI3tmZn5P</t>
  </si>
  <si>
    <t>https://t.co/CDMsFCw9fe</t>
  </si>
  <si>
    <t>https://t.co/B1d062WPKC</t>
  </si>
  <si>
    <t>http://t.co/ahvuWqicF9</t>
  </si>
  <si>
    <t>http://t.co/DtcPvYMt</t>
  </si>
  <si>
    <t>https://t.co/KIEKO2i7PU</t>
  </si>
  <si>
    <t>https://t.co/ukqmUhVOtH</t>
  </si>
  <si>
    <t>https://t.co/wr9X6ALpDS</t>
  </si>
  <si>
    <t>https://t.co/m0UkD95Igt</t>
  </si>
  <si>
    <t>https://t.co/8x2QGAloQ8</t>
  </si>
  <si>
    <t>https://pbs.twimg.com/profile_banners/905421382451941377/1504704430</t>
  </si>
  <si>
    <t>https://pbs.twimg.com/profile_banners/6168682/1468953960</t>
  </si>
  <si>
    <t>https://pbs.twimg.com/profile_banners/131186391/1516008465</t>
  </si>
  <si>
    <t>https://pbs.twimg.com/profile_banners/51169895/1536011653</t>
  </si>
  <si>
    <t>https://pbs.twimg.com/profile_banners/10457862/1403794835</t>
  </si>
  <si>
    <t>https://pbs.twimg.com/profile_banners/4824029985/1467311314</t>
  </si>
  <si>
    <t>https://pbs.twimg.com/profile_banners/18855622/1530470557</t>
  </si>
  <si>
    <t>https://pbs.twimg.com/profile_banners/74883793/1355448057</t>
  </si>
  <si>
    <t>https://pbs.twimg.com/profile_banners/913202025663430656/1533311152</t>
  </si>
  <si>
    <t>https://pbs.twimg.com/profile_banners/44369850/1559673510</t>
  </si>
  <si>
    <t>https://pbs.twimg.com/profile_banners/14308278/1472402006</t>
  </si>
  <si>
    <t>https://pbs.twimg.com/profile_banners/14620824/1416603898</t>
  </si>
  <si>
    <t>https://pbs.twimg.com/profile_banners/115763683/1554299656</t>
  </si>
  <si>
    <t>https://pbs.twimg.com/profile_banners/94384796/1445870572</t>
  </si>
  <si>
    <t>https://pbs.twimg.com/profile_banners/17369964/1490698485</t>
  </si>
  <si>
    <t>https://pbs.twimg.com/profile_banners/807095/1562009397</t>
  </si>
  <si>
    <t>https://pbs.twimg.com/profile_banners/1137416996/1492284659</t>
  </si>
  <si>
    <t>https://pbs.twimg.com/profile_banners/363160500/1556555154</t>
  </si>
  <si>
    <t>https://pbs.twimg.com/profile_banners/110633876/1535247211</t>
  </si>
  <si>
    <t>https://pbs.twimg.com/profile_banners/609929187/1410888524</t>
  </si>
  <si>
    <t>https://pbs.twimg.com/profile_banners/763365608683692032/1470905567</t>
  </si>
  <si>
    <t>https://pbs.twimg.com/profile_banners/36024756/1510052580</t>
  </si>
  <si>
    <t>http://abs.twimg.com/images/themes/theme1/bg.png</t>
  </si>
  <si>
    <t>http://abs.twimg.com/images/themes/theme9/bg.gif</t>
  </si>
  <si>
    <t>http://abs.twimg.com/images/themes/theme2/bg.gif</t>
  </si>
  <si>
    <t>http://abs.twimg.com/images/themes/theme15/bg.png</t>
  </si>
  <si>
    <t>http://abs.twimg.com/images/themes/theme14/bg.gif</t>
  </si>
  <si>
    <t>http://abs.twimg.com/images/themes/theme6/bg.gif</t>
  </si>
  <si>
    <t>http://abs.twimg.com/images/themes/theme7/bg.gif</t>
  </si>
  <si>
    <t>http://pbs.twimg.com/profile_images/930874152210354176/Tc9qVyeI_normal.jpg</t>
  </si>
  <si>
    <t>http://pbs.twimg.com/profile_images/522075391494606848/U80u5PT8_normal.jpeg</t>
  </si>
  <si>
    <t>http://pbs.twimg.com/profile_images/861540695940714498/qqksZ8UK_normal.jpg</t>
  </si>
  <si>
    <t>http://pbs.twimg.com/profile_images/748583335253970950/4b-MSc-n_normal.jpg</t>
  </si>
  <si>
    <t>http://pbs.twimg.com/profile_images/656872290492284928/6Vk-M4KK_normal.jpg</t>
  </si>
  <si>
    <t>http://pbs.twimg.com/profile_images/1098244578472280064/gjkVMelR_normal.png</t>
  </si>
  <si>
    <t>http://pbs.twimg.com/profile_images/3207187088/5dadb1edbeef8d68935b11c6fa3d97ed_normal.jpeg</t>
  </si>
  <si>
    <t>http://pbs.twimg.com/profile_images/1076149439197261824/NUJ_iN7u_normal.jpg</t>
  </si>
  <si>
    <t>http://pbs.twimg.com/profile_images/805360572367781889/odKACjnJ_normal.jpg</t>
  </si>
  <si>
    <t>http://pbs.twimg.com/profile_images/763367816955387904/Eou86Hrg_normal.jpg</t>
  </si>
  <si>
    <t>http://pbs.twimg.com/profile_images/188072445/wendybyjack_normal.JPG</t>
  </si>
  <si>
    <t>Open Twitter Page for This Person</t>
  </si>
  <si>
    <t>https://twitter.com/rebekahktromble</t>
  </si>
  <si>
    <t>https://twitter.com/pervade_team</t>
  </si>
  <si>
    <t>https://twitter.com/michaelzimmer</t>
  </si>
  <si>
    <t>https://twitter.com/jhblackb</t>
  </si>
  <si>
    <t>https://twitter.com/dchatzakou</t>
  </si>
  <si>
    <t>https://twitter.com/emilianoucl</t>
  </si>
  <si>
    <t>https://twitter.com/idramalab</t>
  </si>
  <si>
    <t>https://twitter.com/gianluca_string</t>
  </si>
  <si>
    <t>https://twitter.com/diegocaro</t>
  </si>
  <si>
    <t>https://twitter.com/datascienceudd</t>
  </si>
  <si>
    <t>https://twitter.com/carnby</t>
  </si>
  <si>
    <t>https://twitter.com/gonzalobarria</t>
  </si>
  <si>
    <t>https://twitter.com/pauvasquezh</t>
  </si>
  <si>
    <t>https://twitter.com/aastroza</t>
  </si>
  <si>
    <t>https://twitter.com/franvarela</t>
  </si>
  <si>
    <t>https://twitter.com/elmanujano</t>
  </si>
  <si>
    <t>https://twitter.com/congosto</t>
  </si>
  <si>
    <t>https://twitter.com/theofficialacm</t>
  </si>
  <si>
    <t>https://twitter.com/jvitak</t>
  </si>
  <si>
    <t>https://twitter.com/olyerickson</t>
  </si>
  <si>
    <t>https://twitter.com/nytimes</t>
  </si>
  <si>
    <t>https://twitter.com/faizapatelbcj</t>
  </si>
  <si>
    <t>https://twitter.com/khourycollege</t>
  </si>
  <si>
    <t>https://twitter.com/miz_oka</t>
  </si>
  <si>
    <t>https://twitter.com/exdwarf</t>
  </si>
  <si>
    <t>https://twitter.com/floodserveu</t>
  </si>
  <si>
    <t>https://twitter.com/damewendydbe</t>
  </si>
  <si>
    <t>rebekahktromble
RT @michaelzimmer: If you'll be
at #WebSci19 next week it's not
too late to sign up for the @pervade_team
tutorial on "Web Research Ethics:…</t>
  </si>
  <si>
    <t xml:space="preserve">pervade_team
</t>
  </si>
  <si>
    <t>michaelzimmer
@jvitak 0/2 with ethics workshops
at @TheOfficialACM WebSci conferences.</t>
  </si>
  <si>
    <t>jhblackb
RT @emilianoucl: Congrats to @dchatzakou
et al. -- our paper "Detecting
Cyberbullying and Cyberaggression
in Social Media" has been accepte…</t>
  </si>
  <si>
    <t xml:space="preserve">dchatzakou
</t>
  </si>
  <si>
    <t>emilianoucl
Congrats to @dchatzakou et al.
-- our paper "Detecting Cyberbullying
and Cyberaggression in Social Media"
has been accepted at ACM TWEB.
This is an significantly extended
version of various results previously
presented at WebSci, HyperText,
and CyberSafety. Final version
soon out https://t.co/x02ds54oKL</t>
  </si>
  <si>
    <t>idramalab
RT @emilianoucl: Congrats to @dchatzakou
et al. -- our paper "Detecting
Cyberbullying and Cyberaggression
in Social Media" has been accepte…</t>
  </si>
  <si>
    <t>gianluca_string
RT @emilianoucl: Congrats to @dchatzakou
et al. -- our paper "Detecting
Cyberbullying and Cyberaggression
in Social Media" has been accepte…</t>
  </si>
  <si>
    <t>diegocaro
RT @carnby: Mañana comienza ACM
WebSci'19, en Boston. Desde @DataScienceUDD
presentaremos dos trabajos relacionados
con el uso de Twitter p…</t>
  </si>
  <si>
    <t xml:space="preserve">datascienceudd
</t>
  </si>
  <si>
    <t>carnby
Mañana comienza ACM WebSci'19,
en Boston. Desde @DataScienceUDD
presentaremos dos trabajos relacionados
con el uso de Twitter para estudiar
fenómenos sociales. Aquí un resumen
de ellos:</t>
  </si>
  <si>
    <t>gonzalobarria
RT @carnby: Mañana comienza ACM
WebSci'19, en Boston. Desde @DataScienceUDD
presentaremos dos trabajos relacionados
con el uso de Twitter p…</t>
  </si>
  <si>
    <t>pauvasquezh
RT @carnby: Mañana comienza ACM
WebSci'19, en Boston. Desde @DataScienceUDD
presentaremos dos trabajos relacionados
con el uso de Twitter p…</t>
  </si>
  <si>
    <t>aastroza
RT @carnby: Mañana comienza ACM
WebSci'19, en Boston. Desde @DataScienceUDD
presentaremos dos trabajos relacionados
con el uso de Twitter p…</t>
  </si>
  <si>
    <t>franvarela
RT @carnby: Mañana comienza ACM
WebSci'19, en Boston. Desde @DataScienceUDD
presentaremos dos trabajos relacionados
con el uso de Twitter p…</t>
  </si>
  <si>
    <t>elmanujano
RT @carnby: Mañana comienza ACM
WebSci'19, en Boston. Desde @DataScienceUDD
presentaremos dos trabajos relacionados
con el uso de Twitter p…</t>
  </si>
  <si>
    <t>congosto
RT @carnby: Mañana comienza ACM
WebSci'19, en Boston. Desde @DataScienceUDD
presentaremos dos trabajos relacionados
con el uso de Twitter p…</t>
  </si>
  <si>
    <t xml:space="preserve">theofficialacm
</t>
  </si>
  <si>
    <t>jvitak
@michaelzimmer @TheOfficialACM
I’ve never been to WebSci but that
is not a heartening stat.</t>
  </si>
  <si>
    <t>olyerickson
Stop Collecting Immigrants’ Social
Media Data: The Trump administration
is continuing a bad policy that
doesn’t make us safer. https://t.co/8grNgpk1sX
by @FaizaPatelBCJ via @nytimes
cc #webscience #websci #WebSci19</t>
  </si>
  <si>
    <t xml:space="preserve">nytimes
</t>
  </si>
  <si>
    <t xml:space="preserve">faizapatelbcj
</t>
  </si>
  <si>
    <t>khourycollege
It's the second day of talks, posters,
and paper sessions at WebSci ’19,
a major international conference
bringing together pioneers and
researchers in the interdisciplinary
field of Web Science: https://t.co/6wS6JHR4D8
#WebSci19 https://t.co/nGo0m02t1J</t>
  </si>
  <si>
    <t>miz_oka
websci会議、2日目。Keynote by Fabien
Gandon from Inria. https://t.co/f1V896Iv39</t>
  </si>
  <si>
    <t>exdwarf
Keynote by Fabien Gandon at Websci
Boston day 3 #websci19 @FLOODservEU
https://t.co/A9udtkgyPe</t>
  </si>
  <si>
    <t xml:space="preserve">floodserveu
</t>
  </si>
  <si>
    <t>damewendydbe
RT @Exdwarf: Keynote by Fabien
Gandon at Websci Boston day 3 #websci19
@FLOODservEU https://t.co/A9udtkgyPe</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</si>
  <si>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</si>
  <si>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&lt;value&gt;http://bit.ly/NXLSNA&lt;/value&gt;
      &lt;/setting&gt;
      &lt;setting name="Hashtag" serializeAs="String"&gt;
        &lt;value&gt;#NodeXL&lt;/value&gt;
      &lt;/setting&gt;
      &lt;setting name="BrandURL" serializeAs="String"&gt;
        &lt;value&gt;http://connectedaction.net&lt;/value&gt;
      &lt;/setting&gt;
      &lt;setting name="ActionLabel" serializeAs="String"&gt;
        &lt;value&gt;Request a NodeXL map&lt;/value&gt;
      &lt;/setting&gt;
      &lt;setting name="ActionURL" serializeAs="String"&gt;
        &lt;value&gt;http://bit.ly/NXLSNA&lt;/value&gt;
      &lt;/setting&gt;
      &lt;setting name="BrandLogo" serializeAs="String"&gt;
        &lt;value&gt;https://www.connectedaction.net/wp-content/uploads/2018/10/CALogo-Plain_header.jpg&lt;/value&gt;
      &lt;/setting&gt;
    &lt;/ExportDataUserSettings&gt;
    &lt;PlugInUserSettings&gt;
      &lt;setting name="PlugInFolderPath" serializeAs="String"&gt;
        &lt;value&gt;C:\Program Files (x86)\Soci</t>
  </si>
  <si>
    <t>Workbook Settings 2</t>
  </si>
  <si>
    <t>al Media Research Foundation\NodeXL Excel Template\PlugIns&lt;/value&gt;
      &lt;/setting&gt;
    &lt;/PlugInUserSettings&gt;
    &lt;ExportToNodeXLGraphGalleryUserSettings&gt;
      &lt;setting name="SpaceDelimitedTags" serializeAs="String"&gt;
        &lt;value&gt;Connected Action -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t>
  </si>
  <si>
    <t>Workbook Settings 3</t>
  </si>
  <si>
    <t>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&lt;value&gt;Connected Action NodeXL-Reports&lt;/value&gt;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t>
  </si>
  <si>
    <t>Workbook Settings 4</t>
  </si>
  <si>
    <t>="String"&gt;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&lt;value&gt;marc.smith.email@gmail.com 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Degree, ClusteringCoefficient, BrandesFastCentralities, EigenvectorCentrality, PageRank, OverallMetrics, GroupMetrics, EdgeReciprocation, TopNBy, TwitterSearchNetworkTopItems, Words, ReciprocatedVertexPairRatio&lt;/value&gt;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t>
  </si>
  <si>
    <t>Workbook Settings 5</t>
  </si>
  <si>
    <t>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t>
  </si>
  <si>
    <t>Workbook Settings 6</t>
  </si>
  <si>
    <t>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t>
  </si>
  <si>
    <t>Workbook Settings 7</t>
  </si>
  <si>
    <t>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t>
  </si>
  <si>
    <t>Workbook Settings 8</t>
  </si>
  <si>
    <t xml:space="preserv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t>
  </si>
  <si>
    <t>Workbook Settings 9</t>
  </si>
  <si>
    <t>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t>
  </si>
  <si>
    <t>Workbook Settings 10</t>
  </si>
  <si>
    <t>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
  </si>
  <si>
    <t>Workbook Settings 11</t>
  </si>
  <si>
    <t>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t>
  </si>
  <si>
    <t>Workbook Settings 12</t>
  </si>
  <si>
    <t xml:space="preserve">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t>
  </si>
  <si>
    <t>Workbook Settings 13</t>
  </si>
  <si>
    <t>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t>
  </si>
  <si>
    <t>Workbook Settings 14</t>
  </si>
  <si>
    <t>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</si>
  <si>
    <t>Workbook Settings 15</t>
  </si>
  <si>
    <t>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t>
  </si>
  <si>
    <t>Workbook Settings 16</t>
  </si>
  <si>
    <t xml:space="preserve">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&lt;/GraphMetricUserSettings&gt;
    &lt;AutomateTasksUserSettings&gt;
      &lt;setting name="FolderToAutomate" serializeAs="String"&gt;
        &lt;value /&gt;
      &lt;/setting&gt;
      &lt;setting name="TasksToRun" serializeAs="String"&gt;
        &lt;value&gt;MergeDuplicateEdges, CalculateGraphMetrics, AutoFillWorkbook, CreateSubgraphImages,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&lt;value&gt;Followers&lt;/value&gt;
      &lt;/setting&gt;
      &lt;setting name="VertexToolTipSourceColumnName" serializeAs="String"&gt;
        &lt;value /&gt;
      &lt;/setting&gt;
      &lt;setting name="VertexAlphaSourceColumnName" serializeAs="String"&gt;
        &lt;value&gt;Followers&lt;/value&gt;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32 6 False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Green Red False False True&lt;/value&gt;
      &lt;/setting&gt;
      &lt;setting name="VertexLabelFillColorDetails" serializeAs="String"&gt;
        &lt;value&gt;False False 0 10 Red Green False False True&lt;/value&gt;
      &lt;/setting&gt;
      &lt;setting name="EdgeVisibilityDetails" serializeAs="String"&gt;
        &lt;value&gt;GreaterThan 0 </t>
  </si>
  <si>
    <t>Workbook Settings 17</t>
  </si>
  <si>
    <t>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48pt White BottomCenter 2147483647 2147483647 Black True 360 Black 86 TopLeft&lt;/value&gt;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&lt;value&gt;0.6&lt;/value&gt;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t>
  </si>
  <si>
    <t>Workbook Settings 18</t>
  </si>
  <si>
    <t>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</si>
  <si>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</si>
  <si>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</si>
  <si>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</si>
  <si>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</si>
  <si>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G2</t>
  </si>
  <si>
    <t>G3</t>
  </si>
  <si>
    <t>G4</t>
  </si>
  <si>
    <t>G5</t>
  </si>
  <si>
    <t>G6</t>
  </si>
  <si>
    <t>0, 12, 96</t>
  </si>
  <si>
    <t>0, 136, 227</t>
  </si>
  <si>
    <t>0, 100, 50</t>
  </si>
  <si>
    <t>0, 176, 22</t>
  </si>
  <si>
    <t>191, 0, 0</t>
  </si>
  <si>
    <t>230, 120, 0</t>
  </si>
  <si>
    <t>Vertex Group</t>
  </si>
  <si>
    <t>Vertex 1 Group</t>
  </si>
  <si>
    <t>Vertex 2 Group</t>
  </si>
  <si>
    <t>Group 1</t>
  </si>
  <si>
    <t>Group 2</t>
  </si>
  <si>
    <t>Edges</t>
  </si>
  <si>
    <t>Graph Type</t>
  </si>
  <si>
    <t>Modularity</t>
  </si>
  <si>
    <t>NodeXL Version</t>
  </si>
  <si>
    <t>1.0.1.413</t>
  </si>
  <si>
    <t>Top URLs in Tweet in Entire Graph</t>
  </si>
  <si>
    <t>https://websci19.webscience.org/</t>
  </si>
  <si>
    <t>https://websci19.webscience.org/speakers.html</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</si>
  <si>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</si>
  <si>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</si>
  <si>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</si>
  <si>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</si>
  <si>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</si>
  <si>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</si>
  <si>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</si>
  <si>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</si>
  <si>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</si>
  <si>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</si>
  <si>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</si>
  <si>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</si>
  <si>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G6 Count</t>
  </si>
  <si>
    <t>Top URLs in Tweet</t>
  </si>
  <si>
    <t>https://www.khoury.northeastern.edu/general/acm-websci-19-at-northeastern-brings-together-experts-from-many-disciplines/ https://twitter.com/CChelmis/status/1146043799187206144 https://websci19.webscience.org/ https://websci19.webscience.org/speakers.html</t>
  </si>
  <si>
    <t>Top Domains in Tweet in Entire Graph</t>
  </si>
  <si>
    <t>webscience.org</t>
  </si>
  <si>
    <t>Top Domains in Tweet in G1</t>
  </si>
  <si>
    <t>Top Domains in Tweet in G2</t>
  </si>
  <si>
    <t>Top Domains in Tweet in G3</t>
  </si>
  <si>
    <t>Top Domains in Tweet in G4</t>
  </si>
  <si>
    <t>Top Domains in Tweet in G5</t>
  </si>
  <si>
    <t>Top Domains in Tweet in G6</t>
  </si>
  <si>
    <t>Top Domains in Tweet</t>
  </si>
  <si>
    <t>northeastern.edu webscience.org twitter.com</t>
  </si>
  <si>
    <t>Top Hashtags in Tweet in Entire Graph</t>
  </si>
  <si>
    <t>floodserv</t>
  </si>
  <si>
    <t>webscience</t>
  </si>
  <si>
    <t>websci</t>
  </si>
  <si>
    <t>ethics</t>
  </si>
  <si>
    <t>privacy</t>
  </si>
  <si>
    <t>consent</t>
  </si>
  <si>
    <t>Top Hashtags in Tweet in G1</t>
  </si>
  <si>
    <t>Top Hashtags in Tweet in G2</t>
  </si>
  <si>
    <t>Top Hashtags in Tweet in G3</t>
  </si>
  <si>
    <t>Top Hashtags in Tweet in G4</t>
  </si>
  <si>
    <t>Top Hashtags in Tweet in G5</t>
  </si>
  <si>
    <t>Top Hashtags in Tweet in G6</t>
  </si>
  <si>
    <t>Top Hashtags in Tweet</t>
  </si>
  <si>
    <t>Top Words in Tweet in Entire Graph</t>
  </si>
  <si>
    <t>Words in Sentiment List#1: Positive</t>
  </si>
  <si>
    <t>Words in Sentiment List#2: Negative</t>
  </si>
  <si>
    <t>Words in Sentiment List#3: Angry/Violent</t>
  </si>
  <si>
    <t>Non-categorized Words</t>
  </si>
  <si>
    <t>Total Words</t>
  </si>
  <si>
    <t>boston</t>
  </si>
  <si>
    <t>websci'19</t>
  </si>
  <si>
    <t>acm</t>
  </si>
  <si>
    <t>#websci19</t>
  </si>
  <si>
    <t>Top Words in Tweet in G1</t>
  </si>
  <si>
    <t>mañana</t>
  </si>
  <si>
    <t>comienza</t>
  </si>
  <si>
    <t>desde</t>
  </si>
  <si>
    <t>presentaremos</t>
  </si>
  <si>
    <t>dos</t>
  </si>
  <si>
    <t>trabajos</t>
  </si>
  <si>
    <t>Top Words in Tweet in G2</t>
  </si>
  <si>
    <t>next</t>
  </si>
  <si>
    <t>week</t>
  </si>
  <si>
    <t>late</t>
  </si>
  <si>
    <t>sign</t>
  </si>
  <si>
    <t>up</t>
  </si>
  <si>
    <t>Top Words in Tweet in G3</t>
  </si>
  <si>
    <t>congrats</t>
  </si>
  <si>
    <t>et</t>
  </si>
  <si>
    <t>paper</t>
  </si>
  <si>
    <t>detecting</t>
  </si>
  <si>
    <t>cyberbullying</t>
  </si>
  <si>
    <t>cyberaggression</t>
  </si>
  <si>
    <t>social</t>
  </si>
  <si>
    <t>media</t>
  </si>
  <si>
    <t>Top Words in Tweet in G4</t>
  </si>
  <si>
    <t>keynote</t>
  </si>
  <si>
    <t>fabien</t>
  </si>
  <si>
    <t>gandon</t>
  </si>
  <si>
    <t>day</t>
  </si>
  <si>
    <t>3</t>
  </si>
  <si>
    <t>Top Words in Tweet in G5</t>
  </si>
  <si>
    <t>Top Words in Tweet in G6</t>
  </si>
  <si>
    <t>19</t>
  </si>
  <si>
    <t>researchers</t>
  </si>
  <si>
    <t>web</t>
  </si>
  <si>
    <t>Top Words in Tweet</t>
  </si>
  <si>
    <t>mañana comienza acm websci'19 boston desde datascienceudd presentaremos dos trabajos</t>
  </si>
  <si>
    <t>ethics michaelzimmer theofficialacm websci #websci19 next week late sign up</t>
  </si>
  <si>
    <t>congrats dchatzakou et paper detecting cyberbullying cyberaggression social media emilianoucl</t>
  </si>
  <si>
    <t>websci boston #websci19 keynote exdwarf fabien gandon day 3 floodserveu</t>
  </si>
  <si>
    <t>websci 19 researchers web keynote websci'19</t>
  </si>
  <si>
    <t>Top Word Pairs in Tweet in Entire Graph</t>
  </si>
  <si>
    <t>websci'19,boston</t>
  </si>
  <si>
    <t>mañana,comienza</t>
  </si>
  <si>
    <t>comienza,acm</t>
  </si>
  <si>
    <t>acm,websci'19</t>
  </si>
  <si>
    <t>boston,desde</t>
  </si>
  <si>
    <t>desde,datascienceudd</t>
  </si>
  <si>
    <t>datascienceudd,presentaremos</t>
  </si>
  <si>
    <t>presentaremos,dos</t>
  </si>
  <si>
    <t>dos,trabajos</t>
  </si>
  <si>
    <t>trabajos,relacionados</t>
  </si>
  <si>
    <t>Top Word Pairs in Tweet in G1</t>
  </si>
  <si>
    <t>Top Word Pairs in Tweet in G2</t>
  </si>
  <si>
    <t>#websci19,next</t>
  </si>
  <si>
    <t>next,week</t>
  </si>
  <si>
    <t>week,late</t>
  </si>
  <si>
    <t>late,sign</t>
  </si>
  <si>
    <t>sign,up</t>
  </si>
  <si>
    <t>up,pervade_team</t>
  </si>
  <si>
    <t>pervade_team,tutorial</t>
  </si>
  <si>
    <t>tutorial,web</t>
  </si>
  <si>
    <t>web,research</t>
  </si>
  <si>
    <t>research,ethics</t>
  </si>
  <si>
    <t>Top Word Pairs in Tweet in G3</t>
  </si>
  <si>
    <t>congrats,dchatzakou</t>
  </si>
  <si>
    <t>dchatzakou,et</t>
  </si>
  <si>
    <t>et,paper</t>
  </si>
  <si>
    <t>paper,detecting</t>
  </si>
  <si>
    <t>detecting,cyberbullying</t>
  </si>
  <si>
    <t>cyberbullying,cyberaggression</t>
  </si>
  <si>
    <t>cyberaggression,social</t>
  </si>
  <si>
    <t>social,media</t>
  </si>
  <si>
    <t>emilianoucl,congrats</t>
  </si>
  <si>
    <t>media,accepte</t>
  </si>
  <si>
    <t>Top Word Pairs in Tweet in G4</t>
  </si>
  <si>
    <t>keynote,fabien</t>
  </si>
  <si>
    <t>fabien,gandon</t>
  </si>
  <si>
    <t>gandon,websci</t>
  </si>
  <si>
    <t>websci,boston</t>
  </si>
  <si>
    <t>boston,day</t>
  </si>
  <si>
    <t>day,3</t>
  </si>
  <si>
    <t>3,#websci19</t>
  </si>
  <si>
    <t>#websci19,floodserveu</t>
  </si>
  <si>
    <t>websci,2019</t>
  </si>
  <si>
    <t>2019,boston</t>
  </si>
  <si>
    <t>Top Word Pairs in Tweet in G5</t>
  </si>
  <si>
    <t>Top Word Pairs in Tweet in G6</t>
  </si>
  <si>
    <t>websci,19</t>
  </si>
  <si>
    <t>Top Word Pairs in Tweet</t>
  </si>
  <si>
    <t>mañana,comienza  comienza,acm  acm,websci'19  websci'19,boston  boston,desde  desde,datascienceudd  datascienceudd,presentaremos  presentaremos,dos  dos,trabajos  trabajos,relacionados</t>
  </si>
  <si>
    <t>#websci19,next  next,week  week,late  late,sign  sign,up  up,pervade_team  pervade_team,tutorial  tutorial,web  web,research  research,ethics</t>
  </si>
  <si>
    <t>congrats,dchatzakou  dchatzakou,et  et,paper  paper,detecting  detecting,cyberbullying  cyberbullying,cyberaggression  cyberaggression,social  social,media  emilianoucl,congrats  media,accepte</t>
  </si>
  <si>
    <t>keynote,fabien  fabien,gandon  gandon,websci  websci,boston  boston,day  day,3  3,#websci19  #websci19,floodserveu  websci,2019  2019,boston</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</si>
  <si>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</si>
  <si>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</si>
  <si>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</si>
  <si>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</si>
  <si>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</si>
  <si>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</si>
  <si>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</si>
  <si>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</si>
  <si>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</si>
  <si>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</si>
  <si>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</si>
  <si>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</si>
  <si>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</si>
  <si>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</si>
  <si>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Tweet</t>
  </si>
  <si>
    <t>michaelzimmer jvitak</t>
  </si>
  <si>
    <t>Top Mentioned in Tweet</t>
  </si>
  <si>
    <t>datascienceudd carnby</t>
  </si>
  <si>
    <t>theofficialacm pervade_team michaelzimmer</t>
  </si>
  <si>
    <t>dchatzakou emilianoucl</t>
  </si>
  <si>
    <t>floodserveu exdwarf</t>
  </si>
  <si>
    <t>faizapatelbcj nytimes</t>
  </si>
  <si>
    <t>Top Tweeters in Entire Graph</t>
  </si>
  <si>
    <t>Top Tweeters in G1</t>
  </si>
  <si>
    <t>Top Tweeters in G2</t>
  </si>
  <si>
    <t>Top Tweeters in G3</t>
  </si>
  <si>
    <t>Top Tweeters in G4</t>
  </si>
  <si>
    <t>Top Tweeters in G5</t>
  </si>
  <si>
    <t>Top Tweeters in G6</t>
  </si>
  <si>
    <t>Top Tweeters</t>
  </si>
  <si>
    <t>gonzalobarria congosto diegocaro aastroza carnby franvarela elmanujano datascienceudd pauvasquezh</t>
  </si>
  <si>
    <t>michaelzimmer jvitak theofficialacm rebekahktromble pervade_team</t>
  </si>
  <si>
    <t>gianluca_string jhblackb idramalab emilianoucl dchatzakou</t>
  </si>
  <si>
    <t>damewendydbe floodserveu exdwarf</t>
  </si>
  <si>
    <t>nytimes olyerickson faizapatelbcj</t>
  </si>
  <si>
    <t>miz_oka khourycollege</t>
  </si>
  <si>
    <t>Top URLs in Tweet by Count</t>
  </si>
  <si>
    <t>https://twitter.com/CChelmis/status/1146043799187206144 https://websci19.webscience.org/ https://websci19.webscience.org/speakers.html</t>
  </si>
  <si>
    <t>Top URLs in Tweet by Salience</t>
  </si>
  <si>
    <t>Top Domains in Tweet by Count</t>
  </si>
  <si>
    <t>webscience.org twitter.com</t>
  </si>
  <si>
    <t>Top Domains in Tweet by Salience</t>
  </si>
  <si>
    <t>Top Hashtags in Tweet by Count</t>
  </si>
  <si>
    <t>Top Hashtags in Tweet by Salience</t>
  </si>
  <si>
    <t>floodserv websci19</t>
  </si>
  <si>
    <t>Top Words in Tweet by Count</t>
  </si>
  <si>
    <t>michaelzimmer #websci19 next week late sign up pervade_team tutorial web</t>
  </si>
  <si>
    <t>ethics jvitak 0 2 workshops theofficialacm conferences #websci19 next week</t>
  </si>
  <si>
    <t>emilianoucl congrats dchatzakou et al paper detecting cyberbullying cyberaggression social</t>
  </si>
  <si>
    <t>version congrats dchatzakou et al paper detecting cyberbullying cyberaggression social</t>
  </si>
  <si>
    <t>carnby mañana comienza acm websci'19 en boston desde datascienceudd presentaremos</t>
  </si>
  <si>
    <t>de mañana comienza acm websci'19 en boston desde datascienceudd presentaremos</t>
  </si>
  <si>
    <t>michaelzimmer theofficialacm ve never heartening stat</t>
  </si>
  <si>
    <t>stop collecting immigrants social media data trump administration continuing bad</t>
  </si>
  <si>
    <t>19 researchers web second day talks posters paper sessions major</t>
  </si>
  <si>
    <t>keynote websci'19 websci会議 2日目 fabien gandon inria decoding social world</t>
  </si>
  <si>
    <t>boston #websci19 keynote 2019 fabien gandon day 3 floodserveu exdwarf</t>
  </si>
  <si>
    <t>exdwarf keynote fabien gandon boston day 3 #websci19 floodserveu</t>
  </si>
  <si>
    <t>Top Words in Tweet by Salience</t>
  </si>
  <si>
    <t>jvitak 0 2 workshops theofficialacm conferences #websci19 next week late</t>
  </si>
  <si>
    <t>second day talks posters paper sessions major international conference bringing</t>
  </si>
  <si>
    <t>websci会議 2日目 fabien gandon inria decoding social world boston 今日のkeynote</t>
  </si>
  <si>
    <t>fabien gandon day 3 floodserveu exdwarf presenting poster #floodserv speach</t>
  </si>
  <si>
    <t>Top Word Pairs in Tweet by Count</t>
  </si>
  <si>
    <t>michaelzimmer,#websci19  #websci19,next  next,week  week,late  late,sign  sign,up  up,pervade_team  pervade_team,tutorial  tutorial,web  web,research</t>
  </si>
  <si>
    <t>jvitak,0  0,2  2,ethics  ethics,workshops  workshops,theofficialacm  theofficialacm,websci  websci,conferences  #websci19,next  next,week  week,late</t>
  </si>
  <si>
    <t>emilianoucl,congrats  congrats,dchatzakou  dchatzakou,et  et,al  al,paper  paper,detecting  detecting,cyberbullying  cyberbullying,cyberaggression  cyberaggression,social  social,media</t>
  </si>
  <si>
    <t>congrats,dchatzakou  dchatzakou,et  et,al  al,paper  paper,detecting  detecting,cyberbullying  cyberbullying,cyberaggression  cyberaggression,social  social,media  media,accepted</t>
  </si>
  <si>
    <t>carnby,mañana  mañana,comienza  comienza,acm  acm,websci'19  websci'19,en  en,boston  boston,desde  desde,datascienceudd  datascienceudd,presentaremos  presentaremos,dos</t>
  </si>
  <si>
    <t>mañana,comienza  comienza,acm  acm,websci'19  websci'19,en  en,boston  boston,desde  desde,datascienceudd  datascienceudd,presentaremos  presentaremos,dos  dos,trabajos</t>
  </si>
  <si>
    <t>michaelzimmer,theofficialacm  theofficialacm,ve  ve,never  never,websci  websci,heartening  heartening,stat</t>
  </si>
  <si>
    <t>stop,collecting  collecting,immigrants  immigrants,social  social,media  media,data  data,trump  trump,administration  administration,continuing  continuing,bad  bad,policy</t>
  </si>
  <si>
    <t>websci,19  second,day  day,talks  talks,posters  posters,paper  paper,sessions  sessions,websci  19,major  major,international  international,conference</t>
  </si>
  <si>
    <t>websci会議,2日目  2日目,keynote  keynote,fabien  fabien,gandon  gandon,inria  keynote,websci'19  websci'19,decoding  decoding,social  social,world  websci'19,boston</t>
  </si>
  <si>
    <t>websci,2019  2019,boston  keynote,fabien  fabien,gandon  gandon,websci  websci,boston  boston,day  day,3  3,#websci19  #websci19,floodserveu</t>
  </si>
  <si>
    <t>exdwarf,keynote  keynote,fabien  fabien,gandon  gandon,websci  websci,boston  boston,day  day,3  3,#websci19  #websci19,floodserveu</t>
  </si>
  <si>
    <t>Top Word Pairs in Tweet by Salience</t>
  </si>
  <si>
    <t>second,day  day,talks  talks,posters  posters,paper  paper,sessions  sessions,websci  19,major  major,international  international,conference  conference,bringing</t>
  </si>
  <si>
    <t>keynote,fabien  fabien,gandon  gandon,websci  websci,boston  boston,day  day,3  3,#websci19  #websci19,floodserveu  exdwarf,presenting  presenting,poster</t>
  </si>
  <si>
    <t>Word</t>
  </si>
  <si>
    <t>relacionados</t>
  </si>
  <si>
    <t>uso</t>
  </si>
  <si>
    <t>twitter</t>
  </si>
  <si>
    <t>p</t>
  </si>
  <si>
    <t>accepte</t>
  </si>
  <si>
    <t>2019</t>
  </si>
  <si>
    <t>out</t>
  </si>
  <si>
    <t>more</t>
  </si>
  <si>
    <t>data</t>
  </si>
  <si>
    <t>version</t>
  </si>
  <si>
    <t>tutorial</t>
  </si>
  <si>
    <t>research</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</si>
  <si>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</si>
  <si>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</si>
  <si>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</si>
  <si>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</si>
  <si>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</si>
  <si>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</si>
  <si>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</si>
  <si>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</si>
  <si>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</si>
  <si>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</si>
  <si>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</si>
  <si>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</si>
  <si>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</si>
  <si>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</si>
  <si>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</si>
  <si>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</si>
  <si>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</si>
  <si>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</si>
  <si>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</si>
  <si>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</si>
  <si>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</si>
  <si>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</si>
  <si>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</si>
  <si>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</si>
  <si>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</si>
  <si>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</si>
  <si>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Not Applicable</t>
  </si>
  <si>
    <t>Top 10 Vertices, Ranked by Betweenness Centrality</t>
  </si>
  <si>
    <t>Green</t>
  </si>
  <si>
    <t>131, 62, 0</t>
  </si>
  <si>
    <t>Red</t>
  </si>
  <si>
    <t>G1: mañana comienza acm websci'19 boston desde datascienceudd presentaremos dos trabajos</t>
  </si>
  <si>
    <t>G2: ethics michaelzimmer theofficialacm websci #websci19 next week late sign up</t>
  </si>
  <si>
    <t>G3: congrats dchatzakou et paper detecting cyberbullying cyberaggression social media emilianoucl</t>
  </si>
  <si>
    <t>G4: websci boston #websci19 keynote exdwarf fabien gandon day 3 floodserveu</t>
  </si>
  <si>
    <t>G6: websci 19 researchers web keynote websci'19</t>
  </si>
  <si>
    <t>Autofill Workbook Results</t>
  </si>
  <si>
    <t>Edge Weight▓1▓3▓0▓True▓Green▓Red▓▓Edge Weight▓1▓1▓0▓3▓10▓False▓Edge Weight▓1▓3▓0▓32▓6▓False▓▓0▓0▓0▓True▓Black▓Black▓▓Followers▓38▓47779▓0▓162▓1000▓False▓Followers▓38▓43650625▓0▓100▓70▓False▓▓0▓0▓0▓0▓0▓False▓▓0▓0▓0▓0▓0▓False</t>
  </si>
  <si>
    <t>Subgraph</t>
  </si>
  <si>
    <t>GraphSource░TwitterSearch▓GraphTerm░websci▓ImportDescription░The graph represents a network of 27 Twitter users whose recent tweets contained "websci", or who were replied to or mentioned in those tweets, taken from a data set limited to a maximum of 18,000 tweets.  The network was obtained from Twitter on Tuesday, 02 July 2019 at 14:29 UTC.
The tweets in the network were tweeted over the 7-day, 22-hour, 45-minute period from Monday, 24 June 2019 at 15:17 UTC to Tuesday, 02 July 2019 at 14:02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</si>
</sst>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
    <numFmt numFmtId="178" formatCode="0"/>
    <numFmt numFmtId="179" formatCode="General"/>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6">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0" fontId="0" fillId="0" borderId="0" xfId="0" applyAlignment="1" quotePrefix="1">
      <alignment/>
    </xf>
    <xf numFmtId="0" fontId="0" fillId="0" borderId="0" xfId="0" applyFill="1"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0" fontId="0" fillId="0" borderId="0" xfId="0" applyAlignment="1" quotePrefix="1">
      <alignment wrapText="1"/>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2" borderId="11" xfId="20" applyNumberFormat="1" applyFont="1" applyBorder="1"/>
    <xf numFmtId="49" fontId="0" fillId="0" borderId="0" xfId="0" applyNumberFormat="1" applyAlignment="1">
      <alignment/>
    </xf>
    <xf numFmtId="49" fontId="0" fillId="0" borderId="0" xfId="22" applyNumberFormat="1" applyFont="1" applyBorder="1" applyAlignment="1">
      <alignment/>
    </xf>
    <xf numFmtId="0" fontId="0" fillId="3" borderId="1" xfId="23" applyNumberFormat="1" applyFont="1" applyAlignment="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167" fontId="0" fillId="4" borderId="1" xfId="24" applyNumberFormat="1" applyAlignment="1" quotePrefix="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367">
    <dxf>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78"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9" formatCode="General"/>
      <border>
        <right style="thin">
          <color theme="0"/>
        </right>
      </border>
    </dxf>
    <dxf>
      <numFmt numFmtId="179" formatCode="General"/>
      <alignment horizontal="general" vertical="bottom" textRotation="0" wrapText="1" shrinkToFit="1" readingOrder="0"/>
    </dxf>
    <dxf>
      <numFmt numFmtId="178"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8"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border>
        <left style="thin">
          <color theme="0"/>
        </left>
      </border>
    </dxf>
    <dxf>
      <numFmt numFmtId="179" formatCode="General"/>
      <alignment horizontal="general" vertical="bottom" textRotation="0" wrapText="1" shrinkToFit="1" readingOrder="0"/>
      <border>
        <right style="thin">
          <color theme="0"/>
        </right>
      </border>
    </dxf>
    <dxf>
      <numFmt numFmtId="177"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9" formatCode="General"/>
    </dxf>
    <dxf>
      <numFmt numFmtId="180" formatCode="#,##0.00"/>
    </dxf>
    <dxf>
      <numFmt numFmtId="177" formatCode="@"/>
    </dxf>
    <dxf>
      <numFmt numFmtId="177" formatCode="@"/>
    </dxf>
    <dxf>
      <font>
        <b val="0"/>
        <i val="0"/>
        <u val="none"/>
        <strike val="0"/>
        <sz val="11"/>
        <name val="Calibri"/>
        <color theme="1"/>
        <condense val="0"/>
        <extend val="0"/>
      </font>
      <numFmt numFmtId="179" formatCode="General"/>
    </dxf>
    <dxf>
      <numFmt numFmtId="177"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dxf>
    <dxf>
      <numFmt numFmtId="179" formatCode="General"/>
    </dxf>
    <dxf>
      <numFmt numFmtId="179" formatCode="General"/>
    </dxf>
    <dxf>
      <numFmt numFmtId="166" formatCode="#,##0.000"/>
    </dxf>
    <dxf>
      <numFmt numFmtId="166" formatCode="#,##0.000"/>
    </dxf>
    <dxf>
      <numFmt numFmtId="179" formatCode="General"/>
    </dxf>
    <dxf>
      <numFmt numFmtId="165" formatCode="#,##0.0"/>
    </dxf>
    <dxf>
      <numFmt numFmtId="165" formatCode="#,##0.0"/>
    </dxf>
    <dxf>
      <numFmt numFmtId="164" formatCode="0.0"/>
      <border>
        <left style="thin">
          <color theme="0"/>
        </left>
      </border>
    </dxf>
    <dxf>
      <numFmt numFmtId="177" formatCode="@"/>
      <alignment horizontal="general" vertical="bottom" textRotation="0" wrapText="1" shrinkToFit="1" readingOrder="0"/>
    </dxf>
    <dxf>
      <numFmt numFmtId="179" formatCode="General"/>
      <border>
        <right style="thin">
          <color theme="0"/>
        </right>
      </border>
    </dxf>
    <dxf>
      <numFmt numFmtId="179" formatCode="General"/>
    </dxf>
    <dxf>
      <numFmt numFmtId="177" formatCode="@"/>
    </dxf>
    <dxf>
      <numFmt numFmtId="179" formatCode="General"/>
      <border>
        <left style="thin">
          <color theme="0"/>
        </left>
      </border>
    </dxf>
    <dxf>
      <numFmt numFmtId="179" formatCode="General"/>
      <alignment horizontal="general" vertical="bottom" textRotation="0" wrapText="1" shrinkToFit="1" readingOrder="0"/>
    </dxf>
    <dxf>
      <numFmt numFmtId="178" formatCode="0"/>
      <border>
        <right style="thin">
          <color theme="0"/>
        </right>
      </border>
    </dxf>
    <dxf>
      <numFmt numFmtId="164" formatCode="0.0"/>
    </dxf>
    <dxf>
      <numFmt numFmtId="179" formatCode="General"/>
    </dxf>
    <dxf>
      <numFmt numFmtId="179" formatCode="General"/>
    </dxf>
    <dxf>
      <numFmt numFmtId="177" formatCode="@"/>
    </dxf>
    <dxf>
      <numFmt numFmtId="177" formatCode="@"/>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9" formatCode="General"/>
      <alignment horizontal="general" vertical="bottom" textRotation="0" wrapText="1" shrinkToFit="1" readingOrder="0"/>
    </dxf>
    <dxf>
      <numFmt numFmtId="178" formatCode="0"/>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64" formatCode="0.0"/>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66"/>
      <tableStyleElement type="headerRow" dxfId="365"/>
    </tableStyle>
    <tableStyle name="NodeXL Table" pivot="0" count="1">
      <tableStyleElement type="headerRow" dxfId="364"/>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customXml" Target="../customXml/item1.xml" /><Relationship Id="rId1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297411"/>
        <c:axId val="2676700"/>
      </c:barChart>
      <c:catAx>
        <c:axId val="297411"/>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676700"/>
        <c:crosses val="autoZero"/>
        <c:auto val="1"/>
        <c:lblOffset val="100"/>
        <c:noMultiLvlLbl val="0"/>
      </c:catAx>
      <c:valAx>
        <c:axId val="267670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9741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24090301"/>
        <c:axId val="15486118"/>
      </c:barChart>
      <c:catAx>
        <c:axId val="24090301"/>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5486118"/>
        <c:crosses val="autoZero"/>
        <c:auto val="1"/>
        <c:lblOffset val="100"/>
        <c:noMultiLvlLbl val="0"/>
      </c:catAx>
      <c:valAx>
        <c:axId val="1548611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409030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5157335"/>
        <c:axId val="46416016"/>
      </c:barChart>
      <c:catAx>
        <c:axId val="5157335"/>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6416016"/>
        <c:crosses val="autoZero"/>
        <c:auto val="1"/>
        <c:lblOffset val="100"/>
        <c:noMultiLvlLbl val="0"/>
      </c:catAx>
      <c:valAx>
        <c:axId val="4641601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15733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21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15090961"/>
        <c:axId val="1600922"/>
      </c:barChart>
      <c:catAx>
        <c:axId val="15090961"/>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600922"/>
        <c:crosses val="autoZero"/>
        <c:auto val="1"/>
        <c:lblOffset val="100"/>
        <c:noMultiLvlLbl val="0"/>
      </c:catAx>
      <c:valAx>
        <c:axId val="160092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509096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14408299"/>
        <c:axId val="62565828"/>
      </c:barChart>
      <c:catAx>
        <c:axId val="14408299"/>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62565828"/>
        <c:crosses val="autoZero"/>
        <c:auto val="1"/>
        <c:lblOffset val="100"/>
        <c:noMultiLvlLbl val="0"/>
      </c:catAx>
      <c:valAx>
        <c:axId val="6256582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440829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26221541"/>
        <c:axId val="34667278"/>
      </c:barChart>
      <c:catAx>
        <c:axId val="26221541"/>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4667278"/>
        <c:crosses val="autoZero"/>
        <c:auto val="1"/>
        <c:lblOffset val="100"/>
        <c:noMultiLvlLbl val="0"/>
      </c:catAx>
      <c:valAx>
        <c:axId val="3466727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622154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43570047"/>
        <c:axId val="56586104"/>
      </c:barChart>
      <c:catAx>
        <c:axId val="43570047"/>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6586104"/>
        <c:crosses val="autoZero"/>
        <c:auto val="1"/>
        <c:lblOffset val="100"/>
        <c:noMultiLvlLbl val="0"/>
      </c:catAx>
      <c:valAx>
        <c:axId val="5658610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357004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39512889"/>
        <c:axId val="20071682"/>
      </c:barChart>
      <c:catAx>
        <c:axId val="39512889"/>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0071682"/>
        <c:crosses val="autoZero"/>
        <c:auto val="1"/>
        <c:lblOffset val="100"/>
        <c:noMultiLvlLbl val="0"/>
      </c:catAx>
      <c:valAx>
        <c:axId val="2007168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951288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46427411"/>
        <c:axId val="15193516"/>
      </c:barChart>
      <c:catAx>
        <c:axId val="46427411"/>
        <c:scaling>
          <c:orientation val="minMax"/>
        </c:scaling>
        <c:axPos val="b"/>
        <c:delete val="1"/>
        <c:majorTickMark val="out"/>
        <c:minorTickMark val="none"/>
        <c:tickLblPos val="none"/>
        <c:crossAx val="15193516"/>
        <c:crosses val="autoZero"/>
        <c:auto val="1"/>
        <c:lblOffset val="100"/>
        <c:noMultiLvlLbl val="0"/>
      </c:catAx>
      <c:valAx>
        <c:axId val="15193516"/>
        <c:scaling>
          <c:orientation val="minMax"/>
        </c:scaling>
        <c:axPos val="l"/>
        <c:delete val="1"/>
        <c:majorTickMark val="out"/>
        <c:minorTickMark val="none"/>
        <c:tickLblPos val="none"/>
        <c:crossAx val="46427411"/>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9.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2</xdr:row>
      <xdr:rowOff>28575</xdr:rowOff>
    </xdr:from>
    <xdr:to>
      <xdr:col>1</xdr:col>
      <xdr:colOff>752475</xdr:colOff>
      <xdr:row>2</xdr:row>
      <xdr:rowOff>504825</xdr:rowOff>
    </xdr:to>
    <xdr:pic>
      <xdr:nvPicPr>
        <xdr:cNvPr id="2" name="Subgraph-rebekahktromble"/>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600075"/>
          <a:ext cx="723900" cy="476250"/>
        </a:xfrm>
        <a:prstGeom prst="rect">
          <a:avLst/>
        </a:prstGeom>
        <a:ln>
          <a:noFill/>
        </a:ln>
      </xdr:spPr>
    </xdr:pic>
    <xdr:clientData/>
  </xdr:twoCellAnchor>
  <xdr:twoCellAnchor editAs="oneCell">
    <xdr:from>
      <xdr:col>1</xdr:col>
      <xdr:colOff>28575</xdr:colOff>
      <xdr:row>3</xdr:row>
      <xdr:rowOff>28575</xdr:rowOff>
    </xdr:from>
    <xdr:to>
      <xdr:col>1</xdr:col>
      <xdr:colOff>752475</xdr:colOff>
      <xdr:row>3</xdr:row>
      <xdr:rowOff>504825</xdr:rowOff>
    </xdr:to>
    <xdr:pic>
      <xdr:nvPicPr>
        <xdr:cNvPr id="3" name="Subgraph-pervade_team"/>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1123950"/>
          <a:ext cx="723900" cy="476250"/>
        </a:xfrm>
        <a:prstGeom prst="rect">
          <a:avLst/>
        </a:prstGeom>
        <a:ln>
          <a:noFill/>
        </a:ln>
      </xdr:spPr>
    </xdr:pic>
    <xdr:clientData/>
  </xdr:twoCellAnchor>
  <xdr:twoCellAnchor editAs="oneCell">
    <xdr:from>
      <xdr:col>1</xdr:col>
      <xdr:colOff>28575</xdr:colOff>
      <xdr:row>4</xdr:row>
      <xdr:rowOff>28575</xdr:rowOff>
    </xdr:from>
    <xdr:to>
      <xdr:col>1</xdr:col>
      <xdr:colOff>752475</xdr:colOff>
      <xdr:row>4</xdr:row>
      <xdr:rowOff>504825</xdr:rowOff>
    </xdr:to>
    <xdr:pic>
      <xdr:nvPicPr>
        <xdr:cNvPr id="4" name="Subgraph-michaelzimmer"/>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1647825"/>
          <a:ext cx="723900" cy="476250"/>
        </a:xfrm>
        <a:prstGeom prst="rect">
          <a:avLst/>
        </a:prstGeom>
        <a:ln>
          <a:noFill/>
        </a:ln>
      </xdr:spPr>
    </xdr:pic>
    <xdr:clientData/>
  </xdr:twoCellAnchor>
  <xdr:twoCellAnchor editAs="oneCell">
    <xdr:from>
      <xdr:col>1</xdr:col>
      <xdr:colOff>28575</xdr:colOff>
      <xdr:row>5</xdr:row>
      <xdr:rowOff>28575</xdr:rowOff>
    </xdr:from>
    <xdr:to>
      <xdr:col>1</xdr:col>
      <xdr:colOff>752475</xdr:colOff>
      <xdr:row>5</xdr:row>
      <xdr:rowOff>504825</xdr:rowOff>
    </xdr:to>
    <xdr:pic>
      <xdr:nvPicPr>
        <xdr:cNvPr id="5" name="Subgraph-jhblackb"/>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2171700"/>
          <a:ext cx="723900" cy="476250"/>
        </a:xfrm>
        <a:prstGeom prst="rect">
          <a:avLst/>
        </a:prstGeom>
        <a:ln>
          <a:noFill/>
        </a:ln>
      </xdr:spPr>
    </xdr:pic>
    <xdr:clientData/>
  </xdr:twoCellAnchor>
  <xdr:twoCellAnchor editAs="oneCell">
    <xdr:from>
      <xdr:col>1</xdr:col>
      <xdr:colOff>28575</xdr:colOff>
      <xdr:row>6</xdr:row>
      <xdr:rowOff>28575</xdr:rowOff>
    </xdr:from>
    <xdr:to>
      <xdr:col>1</xdr:col>
      <xdr:colOff>752475</xdr:colOff>
      <xdr:row>6</xdr:row>
      <xdr:rowOff>504825</xdr:rowOff>
    </xdr:to>
    <xdr:pic>
      <xdr:nvPicPr>
        <xdr:cNvPr id="6" name="Subgraph-dchatzakou"/>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2695575"/>
          <a:ext cx="723900" cy="476250"/>
        </a:xfrm>
        <a:prstGeom prst="rect">
          <a:avLst/>
        </a:prstGeom>
        <a:ln>
          <a:noFill/>
        </a:ln>
      </xdr:spPr>
    </xdr:pic>
    <xdr:clientData/>
  </xdr:twoCellAnchor>
  <xdr:twoCellAnchor editAs="oneCell">
    <xdr:from>
      <xdr:col>1</xdr:col>
      <xdr:colOff>28575</xdr:colOff>
      <xdr:row>7</xdr:row>
      <xdr:rowOff>28575</xdr:rowOff>
    </xdr:from>
    <xdr:to>
      <xdr:col>1</xdr:col>
      <xdr:colOff>752475</xdr:colOff>
      <xdr:row>7</xdr:row>
      <xdr:rowOff>504825</xdr:rowOff>
    </xdr:to>
    <xdr:pic>
      <xdr:nvPicPr>
        <xdr:cNvPr id="7" name="Subgraph-emilianoucl"/>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3219450"/>
          <a:ext cx="723900" cy="476250"/>
        </a:xfrm>
        <a:prstGeom prst="rect">
          <a:avLst/>
        </a:prstGeom>
        <a:ln>
          <a:noFill/>
        </a:ln>
      </xdr:spPr>
    </xdr:pic>
    <xdr:clientData/>
  </xdr:twoCellAnchor>
  <xdr:twoCellAnchor editAs="oneCell">
    <xdr:from>
      <xdr:col>1</xdr:col>
      <xdr:colOff>28575</xdr:colOff>
      <xdr:row>8</xdr:row>
      <xdr:rowOff>28575</xdr:rowOff>
    </xdr:from>
    <xdr:to>
      <xdr:col>1</xdr:col>
      <xdr:colOff>752475</xdr:colOff>
      <xdr:row>8</xdr:row>
      <xdr:rowOff>504825</xdr:rowOff>
    </xdr:to>
    <xdr:pic>
      <xdr:nvPicPr>
        <xdr:cNvPr id="8" name="Subgraph-idramalab"/>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3743325"/>
          <a:ext cx="723900" cy="476250"/>
        </a:xfrm>
        <a:prstGeom prst="rect">
          <a:avLst/>
        </a:prstGeom>
        <a:ln>
          <a:noFill/>
        </a:ln>
      </xdr:spPr>
    </xdr:pic>
    <xdr:clientData/>
  </xdr:twoCellAnchor>
  <xdr:twoCellAnchor editAs="oneCell">
    <xdr:from>
      <xdr:col>1</xdr:col>
      <xdr:colOff>28575</xdr:colOff>
      <xdr:row>9</xdr:row>
      <xdr:rowOff>28575</xdr:rowOff>
    </xdr:from>
    <xdr:to>
      <xdr:col>1</xdr:col>
      <xdr:colOff>752475</xdr:colOff>
      <xdr:row>9</xdr:row>
      <xdr:rowOff>504825</xdr:rowOff>
    </xdr:to>
    <xdr:pic>
      <xdr:nvPicPr>
        <xdr:cNvPr id="9" name="Subgraph-gianluca_string"/>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4267200"/>
          <a:ext cx="723900" cy="476250"/>
        </a:xfrm>
        <a:prstGeom prst="rect">
          <a:avLst/>
        </a:prstGeom>
        <a:ln>
          <a:noFill/>
        </a:ln>
      </xdr:spPr>
    </xdr:pic>
    <xdr:clientData/>
  </xdr:twoCellAnchor>
  <xdr:twoCellAnchor editAs="oneCell">
    <xdr:from>
      <xdr:col>1</xdr:col>
      <xdr:colOff>28575</xdr:colOff>
      <xdr:row>10</xdr:row>
      <xdr:rowOff>28575</xdr:rowOff>
    </xdr:from>
    <xdr:to>
      <xdr:col>1</xdr:col>
      <xdr:colOff>752475</xdr:colOff>
      <xdr:row>10</xdr:row>
      <xdr:rowOff>504825</xdr:rowOff>
    </xdr:to>
    <xdr:pic>
      <xdr:nvPicPr>
        <xdr:cNvPr id="10" name="Subgraph-diegocaro"/>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4791075"/>
          <a:ext cx="723900" cy="476250"/>
        </a:xfrm>
        <a:prstGeom prst="rect">
          <a:avLst/>
        </a:prstGeom>
        <a:ln>
          <a:noFill/>
        </a:ln>
      </xdr:spPr>
    </xdr:pic>
    <xdr:clientData/>
  </xdr:twoCellAnchor>
  <xdr:twoCellAnchor editAs="oneCell">
    <xdr:from>
      <xdr:col>1</xdr:col>
      <xdr:colOff>28575</xdr:colOff>
      <xdr:row>11</xdr:row>
      <xdr:rowOff>28575</xdr:rowOff>
    </xdr:from>
    <xdr:to>
      <xdr:col>1</xdr:col>
      <xdr:colOff>752475</xdr:colOff>
      <xdr:row>11</xdr:row>
      <xdr:rowOff>504825</xdr:rowOff>
    </xdr:to>
    <xdr:pic>
      <xdr:nvPicPr>
        <xdr:cNvPr id="11" name="Subgraph-datascienceudd"/>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5314950"/>
          <a:ext cx="723900" cy="476250"/>
        </a:xfrm>
        <a:prstGeom prst="rect">
          <a:avLst/>
        </a:prstGeom>
        <a:ln>
          <a:noFill/>
        </a:ln>
      </xdr:spPr>
    </xdr:pic>
    <xdr:clientData/>
  </xdr:twoCellAnchor>
  <xdr:twoCellAnchor editAs="oneCell">
    <xdr:from>
      <xdr:col>1</xdr:col>
      <xdr:colOff>28575</xdr:colOff>
      <xdr:row>12</xdr:row>
      <xdr:rowOff>28575</xdr:rowOff>
    </xdr:from>
    <xdr:to>
      <xdr:col>1</xdr:col>
      <xdr:colOff>752475</xdr:colOff>
      <xdr:row>12</xdr:row>
      <xdr:rowOff>504825</xdr:rowOff>
    </xdr:to>
    <xdr:pic>
      <xdr:nvPicPr>
        <xdr:cNvPr id="12" name="Subgraph-carnby"/>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5838825"/>
          <a:ext cx="723900" cy="476250"/>
        </a:xfrm>
        <a:prstGeom prst="rect">
          <a:avLst/>
        </a:prstGeom>
        <a:ln>
          <a:noFill/>
        </a:ln>
      </xdr:spPr>
    </xdr:pic>
    <xdr:clientData/>
  </xdr:twoCellAnchor>
  <xdr:twoCellAnchor editAs="oneCell">
    <xdr:from>
      <xdr:col>1</xdr:col>
      <xdr:colOff>28575</xdr:colOff>
      <xdr:row>13</xdr:row>
      <xdr:rowOff>28575</xdr:rowOff>
    </xdr:from>
    <xdr:to>
      <xdr:col>1</xdr:col>
      <xdr:colOff>752475</xdr:colOff>
      <xdr:row>13</xdr:row>
      <xdr:rowOff>504825</xdr:rowOff>
    </xdr:to>
    <xdr:pic>
      <xdr:nvPicPr>
        <xdr:cNvPr id="13" name="Subgraph-gonzalobarria"/>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638175" y="6362700"/>
          <a:ext cx="723900" cy="476250"/>
        </a:xfrm>
        <a:prstGeom prst="rect">
          <a:avLst/>
        </a:prstGeom>
        <a:ln>
          <a:noFill/>
        </a:ln>
      </xdr:spPr>
    </xdr:pic>
    <xdr:clientData/>
  </xdr:twoCellAnchor>
  <xdr:twoCellAnchor editAs="oneCell">
    <xdr:from>
      <xdr:col>1</xdr:col>
      <xdr:colOff>28575</xdr:colOff>
      <xdr:row>14</xdr:row>
      <xdr:rowOff>28575</xdr:rowOff>
    </xdr:from>
    <xdr:to>
      <xdr:col>1</xdr:col>
      <xdr:colOff>752475</xdr:colOff>
      <xdr:row>14</xdr:row>
      <xdr:rowOff>504825</xdr:rowOff>
    </xdr:to>
    <xdr:pic>
      <xdr:nvPicPr>
        <xdr:cNvPr id="14" name="Subgraph-pauvasquezh"/>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6886575"/>
          <a:ext cx="723900" cy="476250"/>
        </a:xfrm>
        <a:prstGeom prst="rect">
          <a:avLst/>
        </a:prstGeom>
        <a:ln>
          <a:noFill/>
        </a:ln>
      </xdr:spPr>
    </xdr:pic>
    <xdr:clientData/>
  </xdr:twoCellAnchor>
  <xdr:twoCellAnchor editAs="oneCell">
    <xdr:from>
      <xdr:col>1</xdr:col>
      <xdr:colOff>28575</xdr:colOff>
      <xdr:row>15</xdr:row>
      <xdr:rowOff>28575</xdr:rowOff>
    </xdr:from>
    <xdr:to>
      <xdr:col>1</xdr:col>
      <xdr:colOff>752475</xdr:colOff>
      <xdr:row>15</xdr:row>
      <xdr:rowOff>504825</xdr:rowOff>
    </xdr:to>
    <xdr:pic>
      <xdr:nvPicPr>
        <xdr:cNvPr id="15" name="Subgraph-aastroza"/>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638175" y="7410450"/>
          <a:ext cx="723900" cy="476250"/>
        </a:xfrm>
        <a:prstGeom prst="rect">
          <a:avLst/>
        </a:prstGeom>
        <a:ln>
          <a:noFill/>
        </a:ln>
      </xdr:spPr>
    </xdr:pic>
    <xdr:clientData/>
  </xdr:twoCellAnchor>
  <xdr:twoCellAnchor editAs="oneCell">
    <xdr:from>
      <xdr:col>1</xdr:col>
      <xdr:colOff>28575</xdr:colOff>
      <xdr:row>16</xdr:row>
      <xdr:rowOff>28575</xdr:rowOff>
    </xdr:from>
    <xdr:to>
      <xdr:col>1</xdr:col>
      <xdr:colOff>752475</xdr:colOff>
      <xdr:row>16</xdr:row>
      <xdr:rowOff>504825</xdr:rowOff>
    </xdr:to>
    <xdr:pic>
      <xdr:nvPicPr>
        <xdr:cNvPr id="16" name="Subgraph-franvarela"/>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638175" y="7934325"/>
          <a:ext cx="723900" cy="476250"/>
        </a:xfrm>
        <a:prstGeom prst="rect">
          <a:avLst/>
        </a:prstGeom>
        <a:ln>
          <a:noFill/>
        </a:ln>
      </xdr:spPr>
    </xdr:pic>
    <xdr:clientData/>
  </xdr:twoCellAnchor>
  <xdr:twoCellAnchor editAs="oneCell">
    <xdr:from>
      <xdr:col>1</xdr:col>
      <xdr:colOff>28575</xdr:colOff>
      <xdr:row>17</xdr:row>
      <xdr:rowOff>28575</xdr:rowOff>
    </xdr:from>
    <xdr:to>
      <xdr:col>1</xdr:col>
      <xdr:colOff>752475</xdr:colOff>
      <xdr:row>17</xdr:row>
      <xdr:rowOff>504825</xdr:rowOff>
    </xdr:to>
    <xdr:pic>
      <xdr:nvPicPr>
        <xdr:cNvPr id="17" name="Subgraph-elmanujano"/>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638175" y="8458200"/>
          <a:ext cx="723900" cy="476250"/>
        </a:xfrm>
        <a:prstGeom prst="rect">
          <a:avLst/>
        </a:prstGeom>
        <a:ln>
          <a:noFill/>
        </a:ln>
      </xdr:spPr>
    </xdr:pic>
    <xdr:clientData/>
  </xdr:twoCellAnchor>
  <xdr:twoCellAnchor editAs="oneCell">
    <xdr:from>
      <xdr:col>1</xdr:col>
      <xdr:colOff>28575</xdr:colOff>
      <xdr:row>18</xdr:row>
      <xdr:rowOff>28575</xdr:rowOff>
    </xdr:from>
    <xdr:to>
      <xdr:col>1</xdr:col>
      <xdr:colOff>752475</xdr:colOff>
      <xdr:row>18</xdr:row>
      <xdr:rowOff>504825</xdr:rowOff>
    </xdr:to>
    <xdr:pic>
      <xdr:nvPicPr>
        <xdr:cNvPr id="18" name="Subgraph-congosto"/>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638175" y="8982075"/>
          <a:ext cx="723900" cy="476250"/>
        </a:xfrm>
        <a:prstGeom prst="rect">
          <a:avLst/>
        </a:prstGeom>
        <a:ln>
          <a:noFill/>
        </a:ln>
      </xdr:spPr>
    </xdr:pic>
    <xdr:clientData/>
  </xdr:twoCellAnchor>
  <xdr:twoCellAnchor editAs="oneCell">
    <xdr:from>
      <xdr:col>1</xdr:col>
      <xdr:colOff>28575</xdr:colOff>
      <xdr:row>19</xdr:row>
      <xdr:rowOff>28575</xdr:rowOff>
    </xdr:from>
    <xdr:to>
      <xdr:col>1</xdr:col>
      <xdr:colOff>752475</xdr:colOff>
      <xdr:row>19</xdr:row>
      <xdr:rowOff>504825</xdr:rowOff>
    </xdr:to>
    <xdr:pic>
      <xdr:nvPicPr>
        <xdr:cNvPr id="19" name="Subgraph-theofficialacm"/>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638175" y="9505950"/>
          <a:ext cx="723900" cy="476250"/>
        </a:xfrm>
        <a:prstGeom prst="rect">
          <a:avLst/>
        </a:prstGeom>
        <a:ln>
          <a:noFill/>
        </a:ln>
      </xdr:spPr>
    </xdr:pic>
    <xdr:clientData/>
  </xdr:twoCellAnchor>
  <xdr:twoCellAnchor editAs="oneCell">
    <xdr:from>
      <xdr:col>1</xdr:col>
      <xdr:colOff>28575</xdr:colOff>
      <xdr:row>20</xdr:row>
      <xdr:rowOff>28575</xdr:rowOff>
    </xdr:from>
    <xdr:to>
      <xdr:col>1</xdr:col>
      <xdr:colOff>752475</xdr:colOff>
      <xdr:row>20</xdr:row>
      <xdr:rowOff>504825</xdr:rowOff>
    </xdr:to>
    <xdr:pic>
      <xdr:nvPicPr>
        <xdr:cNvPr id="20" name="Subgraph-jvitak"/>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638175" y="10029825"/>
          <a:ext cx="723900" cy="476250"/>
        </a:xfrm>
        <a:prstGeom prst="rect">
          <a:avLst/>
        </a:prstGeom>
        <a:ln>
          <a:noFill/>
        </a:ln>
      </xdr:spPr>
    </xdr:pic>
    <xdr:clientData/>
  </xdr:twoCellAnchor>
  <xdr:twoCellAnchor editAs="oneCell">
    <xdr:from>
      <xdr:col>1</xdr:col>
      <xdr:colOff>28575</xdr:colOff>
      <xdr:row>21</xdr:row>
      <xdr:rowOff>28575</xdr:rowOff>
    </xdr:from>
    <xdr:to>
      <xdr:col>1</xdr:col>
      <xdr:colOff>752475</xdr:colOff>
      <xdr:row>21</xdr:row>
      <xdr:rowOff>504825</xdr:rowOff>
    </xdr:to>
    <xdr:pic>
      <xdr:nvPicPr>
        <xdr:cNvPr id="21" name="Subgraph-olyerickson"/>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638175" y="10553700"/>
          <a:ext cx="723900" cy="476250"/>
        </a:xfrm>
        <a:prstGeom prst="rect">
          <a:avLst/>
        </a:prstGeom>
        <a:ln>
          <a:noFill/>
        </a:ln>
      </xdr:spPr>
    </xdr:pic>
    <xdr:clientData/>
  </xdr:twoCellAnchor>
  <xdr:twoCellAnchor editAs="oneCell">
    <xdr:from>
      <xdr:col>1</xdr:col>
      <xdr:colOff>28575</xdr:colOff>
      <xdr:row>22</xdr:row>
      <xdr:rowOff>28575</xdr:rowOff>
    </xdr:from>
    <xdr:to>
      <xdr:col>1</xdr:col>
      <xdr:colOff>752475</xdr:colOff>
      <xdr:row>22</xdr:row>
      <xdr:rowOff>504825</xdr:rowOff>
    </xdr:to>
    <xdr:pic>
      <xdr:nvPicPr>
        <xdr:cNvPr id="22" name="Subgraph-nytimes"/>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638175" y="11077575"/>
          <a:ext cx="723900" cy="476250"/>
        </a:xfrm>
        <a:prstGeom prst="rect">
          <a:avLst/>
        </a:prstGeom>
        <a:ln>
          <a:noFill/>
        </a:ln>
      </xdr:spPr>
    </xdr:pic>
    <xdr:clientData/>
  </xdr:twoCellAnchor>
  <xdr:twoCellAnchor editAs="oneCell">
    <xdr:from>
      <xdr:col>1</xdr:col>
      <xdr:colOff>28575</xdr:colOff>
      <xdr:row>23</xdr:row>
      <xdr:rowOff>28575</xdr:rowOff>
    </xdr:from>
    <xdr:to>
      <xdr:col>1</xdr:col>
      <xdr:colOff>752475</xdr:colOff>
      <xdr:row>23</xdr:row>
      <xdr:rowOff>504825</xdr:rowOff>
    </xdr:to>
    <xdr:pic>
      <xdr:nvPicPr>
        <xdr:cNvPr id="23" name="Subgraph-faizapatelbcj"/>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638175" y="11601450"/>
          <a:ext cx="723900" cy="476250"/>
        </a:xfrm>
        <a:prstGeom prst="rect">
          <a:avLst/>
        </a:prstGeom>
        <a:ln>
          <a:noFill/>
        </a:ln>
      </xdr:spPr>
    </xdr:pic>
    <xdr:clientData/>
  </xdr:twoCellAnchor>
  <xdr:twoCellAnchor editAs="oneCell">
    <xdr:from>
      <xdr:col>1</xdr:col>
      <xdr:colOff>28575</xdr:colOff>
      <xdr:row>24</xdr:row>
      <xdr:rowOff>28575</xdr:rowOff>
    </xdr:from>
    <xdr:to>
      <xdr:col>1</xdr:col>
      <xdr:colOff>752475</xdr:colOff>
      <xdr:row>24</xdr:row>
      <xdr:rowOff>504825</xdr:rowOff>
    </xdr:to>
    <xdr:pic>
      <xdr:nvPicPr>
        <xdr:cNvPr id="24" name="Subgraph-khourycollege"/>
        <xdr:cNvPicPr preferRelativeResize="1">
          <a:picLocks noChangeAspect="0"/>
        </xdr:cNvPicPr>
      </xdr:nvPicPr>
      <xdr:blipFill>
        <a:blip r:embed="rId20">
          <a:extLst>
            <a:ext uri="{28A0092B-C50C-407E-A947-70E740481C1C}">
              <a14:useLocalDpi xmlns:a14="http://schemas.microsoft.com/office/drawing/2010/main" val="0"/>
            </a:ext>
          </a:extLst>
        </a:blip>
        <a:stretch>
          <a:fillRect/>
        </a:stretch>
      </xdr:blipFill>
      <xdr:spPr>
        <a:xfrm>
          <a:off x="638175" y="12125325"/>
          <a:ext cx="723900" cy="476250"/>
        </a:xfrm>
        <a:prstGeom prst="rect">
          <a:avLst/>
        </a:prstGeom>
        <a:ln>
          <a:noFill/>
        </a:ln>
      </xdr:spPr>
    </xdr:pic>
    <xdr:clientData/>
  </xdr:twoCellAnchor>
  <xdr:twoCellAnchor editAs="oneCell">
    <xdr:from>
      <xdr:col>1</xdr:col>
      <xdr:colOff>28575</xdr:colOff>
      <xdr:row>25</xdr:row>
      <xdr:rowOff>28575</xdr:rowOff>
    </xdr:from>
    <xdr:to>
      <xdr:col>1</xdr:col>
      <xdr:colOff>752475</xdr:colOff>
      <xdr:row>25</xdr:row>
      <xdr:rowOff>504825</xdr:rowOff>
    </xdr:to>
    <xdr:pic>
      <xdr:nvPicPr>
        <xdr:cNvPr id="25" name="Subgraph-miz_oka"/>
        <xdr:cNvPicPr preferRelativeResize="1">
          <a:picLocks noChangeAspect="0"/>
        </xdr:cNvPicPr>
      </xdr:nvPicPr>
      <xdr:blipFill>
        <a:blip r:embed="rId21">
          <a:extLst>
            <a:ext uri="{28A0092B-C50C-407E-A947-70E740481C1C}">
              <a14:useLocalDpi xmlns:a14="http://schemas.microsoft.com/office/drawing/2010/main" val="0"/>
            </a:ext>
          </a:extLst>
        </a:blip>
        <a:stretch>
          <a:fillRect/>
        </a:stretch>
      </xdr:blipFill>
      <xdr:spPr>
        <a:xfrm>
          <a:off x="638175" y="12649200"/>
          <a:ext cx="723900" cy="476250"/>
        </a:xfrm>
        <a:prstGeom prst="rect">
          <a:avLst/>
        </a:prstGeom>
        <a:ln>
          <a:noFill/>
        </a:ln>
      </xdr:spPr>
    </xdr:pic>
    <xdr:clientData/>
  </xdr:twoCellAnchor>
  <xdr:twoCellAnchor editAs="oneCell">
    <xdr:from>
      <xdr:col>1</xdr:col>
      <xdr:colOff>28575</xdr:colOff>
      <xdr:row>26</xdr:row>
      <xdr:rowOff>28575</xdr:rowOff>
    </xdr:from>
    <xdr:to>
      <xdr:col>1</xdr:col>
      <xdr:colOff>752475</xdr:colOff>
      <xdr:row>26</xdr:row>
      <xdr:rowOff>504825</xdr:rowOff>
    </xdr:to>
    <xdr:pic>
      <xdr:nvPicPr>
        <xdr:cNvPr id="26" name="Subgraph-exdwarf"/>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638175" y="13173075"/>
          <a:ext cx="723900" cy="476250"/>
        </a:xfrm>
        <a:prstGeom prst="rect">
          <a:avLst/>
        </a:prstGeom>
        <a:ln>
          <a:noFill/>
        </a:ln>
      </xdr:spPr>
    </xdr:pic>
    <xdr:clientData/>
  </xdr:twoCellAnchor>
  <xdr:twoCellAnchor editAs="oneCell">
    <xdr:from>
      <xdr:col>1</xdr:col>
      <xdr:colOff>28575</xdr:colOff>
      <xdr:row>27</xdr:row>
      <xdr:rowOff>28575</xdr:rowOff>
    </xdr:from>
    <xdr:to>
      <xdr:col>1</xdr:col>
      <xdr:colOff>752475</xdr:colOff>
      <xdr:row>27</xdr:row>
      <xdr:rowOff>504825</xdr:rowOff>
    </xdr:to>
    <xdr:pic>
      <xdr:nvPicPr>
        <xdr:cNvPr id="27" name="Subgraph-floodserveu"/>
        <xdr:cNvPicPr preferRelativeResize="1">
          <a:picLocks noChangeAspect="0"/>
        </xdr:cNvPicPr>
      </xdr:nvPicPr>
      <xdr:blipFill>
        <a:blip r:embed="rId23">
          <a:extLst>
            <a:ext uri="{28A0092B-C50C-407E-A947-70E740481C1C}">
              <a14:useLocalDpi xmlns:a14="http://schemas.microsoft.com/office/drawing/2010/main" val="0"/>
            </a:ext>
          </a:extLst>
        </a:blip>
        <a:stretch>
          <a:fillRect/>
        </a:stretch>
      </xdr:blipFill>
      <xdr:spPr>
        <a:xfrm>
          <a:off x="638175" y="13696950"/>
          <a:ext cx="723900" cy="476250"/>
        </a:xfrm>
        <a:prstGeom prst="rect">
          <a:avLst/>
        </a:prstGeom>
        <a:ln>
          <a:noFill/>
        </a:ln>
      </xdr:spPr>
    </xdr:pic>
    <xdr:clientData/>
  </xdr:twoCellAnchor>
  <xdr:twoCellAnchor editAs="oneCell">
    <xdr:from>
      <xdr:col>1</xdr:col>
      <xdr:colOff>28575</xdr:colOff>
      <xdr:row>28</xdr:row>
      <xdr:rowOff>28575</xdr:rowOff>
    </xdr:from>
    <xdr:to>
      <xdr:col>1</xdr:col>
      <xdr:colOff>752475</xdr:colOff>
      <xdr:row>28</xdr:row>
      <xdr:rowOff>504825</xdr:rowOff>
    </xdr:to>
    <xdr:pic>
      <xdr:nvPicPr>
        <xdr:cNvPr id="28" name="Subgraph-damewendydbe"/>
        <xdr:cNvPicPr preferRelativeResize="1">
          <a:picLocks noChangeAspect="0"/>
        </xdr:cNvPicPr>
      </xdr:nvPicPr>
      <xdr:blipFill>
        <a:blip r:embed="rId24">
          <a:extLst>
            <a:ext uri="{28A0092B-C50C-407E-A947-70E740481C1C}">
              <a14:useLocalDpi xmlns:a14="http://schemas.microsoft.com/office/drawing/2010/main" val="0"/>
            </a:ext>
          </a:extLst>
        </a:blip>
        <a:stretch>
          <a:fillRect/>
        </a:stretch>
      </xdr:blipFill>
      <xdr:spPr>
        <a:xfrm>
          <a:off x="638175" y="14220825"/>
          <a:ext cx="723900" cy="4762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tables/table1.xml><?xml version="1.0" encoding="utf-8"?>
<table xmlns="http://schemas.openxmlformats.org/spreadsheetml/2006/main" id="1" name="Edges" displayName="Edges" ref="A2:BL43" totalsRowShown="0" headerRowDxfId="363" dataDxfId="362">
  <autoFilter ref="A2:BL43"/>
  <tableColumns count="64">
    <tableColumn id="1" name="Vertex 1" dataDxfId="361"/>
    <tableColumn id="2" name="Vertex 2" dataDxfId="360"/>
    <tableColumn id="3" name="Color" dataDxfId="359"/>
    <tableColumn id="4" name="Width" dataDxfId="358"/>
    <tableColumn id="11" name="Style" dataDxfId="357"/>
    <tableColumn id="5" name="Opacity" dataDxfId="356"/>
    <tableColumn id="6" name="Visibility" dataDxfId="355"/>
    <tableColumn id="10" name="Label" dataDxfId="354"/>
    <tableColumn id="12" name="Label Text Color" dataDxfId="353"/>
    <tableColumn id="13" name="Label Font Size" dataDxfId="352"/>
    <tableColumn id="14" name="Reciprocated?" dataDxfId="29"/>
    <tableColumn id="7" name="ID" dataDxfId="351"/>
    <tableColumn id="9" name="Dynamic Filter" dataDxfId="350"/>
    <tableColumn id="8" name="Add Your Own Columns Here" dataDxfId="349"/>
    <tableColumn id="15" name="Relationship" dataDxfId="348"/>
    <tableColumn id="16" name="Relationship Date (UTC)" dataDxfId="347"/>
    <tableColumn id="17" name="Tweet" dataDxfId="346"/>
    <tableColumn id="18" name="URLs in Tweet" dataDxfId="345"/>
    <tableColumn id="19" name="Domains in Tweet" dataDxfId="344"/>
    <tableColumn id="20" name="Hashtags in Tweet" dataDxfId="343"/>
    <tableColumn id="21" name="Media in Tweet" dataDxfId="342"/>
    <tableColumn id="22" name="Tweet Image File" dataDxfId="341"/>
    <tableColumn id="23" name="Tweet Date (UTC)" dataDxfId="340"/>
    <tableColumn id="24" name="Twitter Page for Tweet" dataDxfId="339"/>
    <tableColumn id="25" name="Latitude" dataDxfId="338"/>
    <tableColumn id="26" name="Longitude" dataDxfId="337"/>
    <tableColumn id="27" name="Imported ID" dataDxfId="336"/>
    <tableColumn id="28" name="In-Reply-To Tweet ID" dataDxfId="335"/>
    <tableColumn id="29" name="Favorited" dataDxfId="334"/>
    <tableColumn id="30" name="Favorite Count" dataDxfId="333"/>
    <tableColumn id="31" name="In-Reply-To User ID" dataDxfId="332"/>
    <tableColumn id="32" name="Is Quote Status" dataDxfId="331"/>
    <tableColumn id="33" name="Language" dataDxfId="330"/>
    <tableColumn id="34" name="Possibly Sensitive" dataDxfId="329"/>
    <tableColumn id="35" name="Quoted Status ID" dataDxfId="328"/>
    <tableColumn id="36" name="Retweeted" dataDxfId="327"/>
    <tableColumn id="37" name="Retweet Count" dataDxfId="326"/>
    <tableColumn id="38" name="Retweet ID" dataDxfId="325"/>
    <tableColumn id="39" name="Source" dataDxfId="324"/>
    <tableColumn id="40" name="Truncated" dataDxfId="323"/>
    <tableColumn id="41" name="Unified Twitter ID" dataDxfId="322"/>
    <tableColumn id="42" name="Imported Tweet Type" dataDxfId="321"/>
    <tableColumn id="43" name="Added By Extended Analysis" dataDxfId="320"/>
    <tableColumn id="44" name="Corrected By Extended Analysis" dataDxfId="319"/>
    <tableColumn id="45" name="Place Bounding Box" dataDxfId="318"/>
    <tableColumn id="46" name="Place Country" dataDxfId="317"/>
    <tableColumn id="47" name="Place Country Code" dataDxfId="316"/>
    <tableColumn id="48" name="Place Full Name" dataDxfId="315"/>
    <tableColumn id="49" name="Place ID" dataDxfId="314"/>
    <tableColumn id="50" name="Place Name" dataDxfId="313"/>
    <tableColumn id="51" name="Place Type" dataDxfId="312"/>
    <tableColumn id="52" name="Place URL" dataDxfId="311"/>
    <tableColumn id="53" name="Edge Weight"/>
    <tableColumn id="54" name="Vertex 1 Group" dataDxfId="234">
      <calculatedColumnFormula>REPLACE(INDEX(GroupVertices[Group], MATCH(Edges[[#This Row],[Vertex 1]],GroupVertices[Vertex],0)),1,1,"")</calculatedColumnFormula>
    </tableColumn>
    <tableColumn id="55" name="Vertex 2 Group" dataDxfId="59">
      <calculatedColumnFormula>REPLACE(INDEX(GroupVertices[Group], MATCH(Edges[[#This Row],[Vertex 2]],GroupVertices[Vertex],0)),1,1,"")</calculatedColumnFormula>
    </tableColumn>
    <tableColumn id="56" name="Sentiment List #1: Positive Word Count" dataDxfId="58"/>
    <tableColumn id="57" name="Sentiment List #1: Positive Word Percentage (%)" dataDxfId="57"/>
    <tableColumn id="58" name="Sentiment List #2: Negative Word Count" dataDxfId="56"/>
    <tableColumn id="59" name="Sentiment List #2: Negative Word Percentage (%)" dataDxfId="55"/>
    <tableColumn id="60" name="Sentiment List #3: Angry/Violent Word Count" dataDxfId="54"/>
    <tableColumn id="61" name="Sentiment List #3: Angry/Violent Word Percentage (%)" dataDxfId="53"/>
    <tableColumn id="62" name="Non-categorized Word Count" dataDxfId="52"/>
    <tableColumn id="63" name="Non-categorized Word Percentage (%)" dataDxfId="51"/>
    <tableColumn id="64" name="Edge Content Word Count" dataDxfId="5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43">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GroupEdges" displayName="GroupEdges" ref="A2:C8" totalsRowShown="0" headerRowDxfId="233" dataDxfId="232">
  <autoFilter ref="A2:C8"/>
  <tableColumns count="3">
    <tableColumn id="1" name="Group 1" dataDxfId="231"/>
    <tableColumn id="2" name="Group 2" dataDxfId="230"/>
    <tableColumn id="3" name="Edges" dataDxfId="229"/>
  </tableColumns>
  <tableStyleInfo name="NodeXL Table" showFirstColumn="0" showLastColumn="0" showRowStripes="1" showColumnStripes="0"/>
</table>
</file>

<file path=xl/tables/table12.xml><?xml version="1.0" encoding="utf-8"?>
<table xmlns="http://schemas.openxmlformats.org/spreadsheetml/2006/main" id="11" name="TwitterSearchNetworkTopItems_1" displayName="TwitterSearchNetworkTopItems_1" ref="A1:N7" totalsRowShown="0" headerRowDxfId="226" dataDxfId="225">
  <autoFilter ref="A1:N7"/>
  <tableColumns count="14">
    <tableColumn id="1" name="Top URLs in Tweet in Entire Graph" dataDxfId="224"/>
    <tableColumn id="2" name="Entire Graph Count" dataDxfId="223"/>
    <tableColumn id="3" name="Top URLs in Tweet in G1" dataDxfId="222"/>
    <tableColumn id="4" name="G1 Count" dataDxfId="221"/>
    <tableColumn id="5" name="Top URLs in Tweet in G2" dataDxfId="220"/>
    <tableColumn id="6" name="G2 Count" dataDxfId="219"/>
    <tableColumn id="7" name="Top URLs in Tweet in G3" dataDxfId="218"/>
    <tableColumn id="8" name="G3 Count" dataDxfId="217"/>
    <tableColumn id="9" name="Top URLs in Tweet in G4" dataDxfId="216"/>
    <tableColumn id="10" name="G4 Count" dataDxfId="215"/>
    <tableColumn id="11" name="Top URLs in Tweet in G5" dataDxfId="214"/>
    <tableColumn id="12" name="G5 Count" dataDxfId="213"/>
    <tableColumn id="13" name="Top URLs in Tweet in G6" dataDxfId="212"/>
    <tableColumn id="14" name="G6 Count" dataDxfId="211"/>
  </tableColumns>
  <tableStyleInfo name="NodeXL Table" showFirstColumn="0" showLastColumn="0" showRowStripes="1" showColumnStripes="0"/>
</table>
</file>

<file path=xl/tables/table13.xml><?xml version="1.0" encoding="utf-8"?>
<table xmlns="http://schemas.openxmlformats.org/spreadsheetml/2006/main" id="12" name="TwitterSearchNetworkTopItems_2" displayName="TwitterSearchNetworkTopItems_2" ref="A10:N15" totalsRowShown="0" headerRowDxfId="210" dataDxfId="209">
  <autoFilter ref="A10:N15"/>
  <tableColumns count="14">
    <tableColumn id="1" name="Top Domains in Tweet in Entire Graph" dataDxfId="208"/>
    <tableColumn id="2" name="Entire Graph Count" dataDxfId="207"/>
    <tableColumn id="3" name="Top Domains in Tweet in G1" dataDxfId="206"/>
    <tableColumn id="4" name="G1 Count" dataDxfId="205"/>
    <tableColumn id="5" name="Top Domains in Tweet in G2" dataDxfId="204"/>
    <tableColumn id="6" name="G2 Count" dataDxfId="203"/>
    <tableColumn id="7" name="Top Domains in Tweet in G3" dataDxfId="202"/>
    <tableColumn id="8" name="G3 Count" dataDxfId="201"/>
    <tableColumn id="9" name="Top Domains in Tweet in G4" dataDxfId="200"/>
    <tableColumn id="10" name="G4 Count" dataDxfId="199"/>
    <tableColumn id="11" name="Top Domains in Tweet in G5" dataDxfId="198"/>
    <tableColumn id="12" name="G5 Count" dataDxfId="197"/>
    <tableColumn id="13" name="Top Domains in Tweet in G6" dataDxfId="196"/>
    <tableColumn id="14" name="G6 Count" dataDxfId="195"/>
  </tableColumns>
  <tableStyleInfo name="NodeXL Table" showFirstColumn="0" showLastColumn="0" showRowStripes="1" showColumnStripes="0"/>
</table>
</file>

<file path=xl/tables/table14.xml><?xml version="1.0" encoding="utf-8"?>
<table xmlns="http://schemas.openxmlformats.org/spreadsheetml/2006/main" id="13" name="TwitterSearchNetworkTopItems_3" displayName="TwitterSearchNetworkTopItems_3" ref="A18:N25" totalsRowShown="0" headerRowDxfId="194" dataDxfId="193">
  <autoFilter ref="A18:N25"/>
  <tableColumns count="14">
    <tableColumn id="1" name="Top Hashtags in Tweet in Entire Graph" dataDxfId="192"/>
    <tableColumn id="2" name="Entire Graph Count" dataDxfId="191"/>
    <tableColumn id="3" name="Top Hashtags in Tweet in G1" dataDxfId="190"/>
    <tableColumn id="4" name="G1 Count" dataDxfId="189"/>
    <tableColumn id="5" name="Top Hashtags in Tweet in G2" dataDxfId="188"/>
    <tableColumn id="6" name="G2 Count" dataDxfId="187"/>
    <tableColumn id="7" name="Top Hashtags in Tweet in G3" dataDxfId="186"/>
    <tableColumn id="8" name="G3 Count" dataDxfId="185"/>
    <tableColumn id="9" name="Top Hashtags in Tweet in G4" dataDxfId="184"/>
    <tableColumn id="10" name="G4 Count" dataDxfId="183"/>
    <tableColumn id="11" name="Top Hashtags in Tweet in G5" dataDxfId="182"/>
    <tableColumn id="12" name="G5 Count" dataDxfId="181"/>
    <tableColumn id="13" name="Top Hashtags in Tweet in G6" dataDxfId="180"/>
    <tableColumn id="14" name="G6 Count" dataDxfId="179"/>
  </tableColumns>
  <tableStyleInfo name="NodeXL Table" showFirstColumn="0" showLastColumn="0" showRowStripes="1" showColumnStripes="0"/>
</table>
</file>

<file path=xl/tables/table15.xml><?xml version="1.0" encoding="utf-8"?>
<table xmlns="http://schemas.openxmlformats.org/spreadsheetml/2006/main" id="14" name="TwitterSearchNetworkTopItems_4" displayName="TwitterSearchNetworkTopItems_4" ref="A28:N38" totalsRowShown="0" headerRowDxfId="177" dataDxfId="176">
  <autoFilter ref="A28:N38"/>
  <tableColumns count="14">
    <tableColumn id="1" name="Top Words in Tweet in Entire Graph" dataDxfId="175"/>
    <tableColumn id="2" name="Entire Graph Count" dataDxfId="174"/>
    <tableColumn id="3" name="Top Words in Tweet in G1" dataDxfId="173"/>
    <tableColumn id="4" name="G1 Count" dataDxfId="172"/>
    <tableColumn id="5" name="Top Words in Tweet in G2" dataDxfId="171"/>
    <tableColumn id="6" name="G2 Count" dataDxfId="170"/>
    <tableColumn id="7" name="Top Words in Tweet in G3" dataDxfId="169"/>
    <tableColumn id="8" name="G3 Count" dataDxfId="168"/>
    <tableColumn id="9" name="Top Words in Tweet in G4" dataDxfId="167"/>
    <tableColumn id="10" name="G4 Count" dataDxfId="166"/>
    <tableColumn id="11" name="Top Words in Tweet in G5" dataDxfId="165"/>
    <tableColumn id="12" name="G5 Count" dataDxfId="164"/>
    <tableColumn id="13" name="Top Words in Tweet in G6" dataDxfId="163"/>
    <tableColumn id="14" name="G6 Count" dataDxfId="162"/>
  </tableColumns>
  <tableStyleInfo name="NodeXL Table" showFirstColumn="0" showLastColumn="0" showRowStripes="1" showColumnStripes="0"/>
</table>
</file>

<file path=xl/tables/table16.xml><?xml version="1.0" encoding="utf-8"?>
<table xmlns="http://schemas.openxmlformats.org/spreadsheetml/2006/main" id="16" name="TwitterSearchNetworkTopItems_5" displayName="TwitterSearchNetworkTopItems_5" ref="A41:N51" totalsRowShown="0" headerRowDxfId="160" dataDxfId="159">
  <autoFilter ref="A41:N51"/>
  <tableColumns count="14">
    <tableColumn id="1" name="Top Word Pairs in Tweet in Entire Graph" dataDxfId="158"/>
    <tableColumn id="2" name="Entire Graph Count" dataDxfId="157"/>
    <tableColumn id="3" name="Top Word Pairs in Tweet in G1" dataDxfId="156"/>
    <tableColumn id="4" name="G1 Count" dataDxfId="155"/>
    <tableColumn id="5" name="Top Word Pairs in Tweet in G2" dataDxfId="154"/>
    <tableColumn id="6" name="G2 Count" dataDxfId="153"/>
    <tableColumn id="7" name="Top Word Pairs in Tweet in G3" dataDxfId="152"/>
    <tableColumn id="8" name="G3 Count" dataDxfId="151"/>
    <tableColumn id="9" name="Top Word Pairs in Tweet in G4" dataDxfId="150"/>
    <tableColumn id="10" name="G4 Count" dataDxfId="149"/>
    <tableColumn id="11" name="Top Word Pairs in Tweet in G5" dataDxfId="148"/>
    <tableColumn id="12" name="G5 Count" dataDxfId="147"/>
    <tableColumn id="13" name="Top Word Pairs in Tweet in G6" dataDxfId="146"/>
    <tableColumn id="14" name="G6 Count" dataDxfId="145"/>
  </tableColumns>
  <tableStyleInfo name="NodeXL Table" showFirstColumn="0" showLastColumn="0" showRowStripes="1" showColumnStripes="0"/>
</table>
</file>

<file path=xl/tables/table17.xml><?xml version="1.0" encoding="utf-8"?>
<table xmlns="http://schemas.openxmlformats.org/spreadsheetml/2006/main" id="17" name="TwitterSearchNetworkTopItems_6" displayName="TwitterSearchNetworkTopItems_6" ref="A54:N56" totalsRowShown="0" headerRowDxfId="143" dataDxfId="142">
  <autoFilter ref="A54:N56"/>
  <tableColumns count="14">
    <tableColumn id="1" name="Top Replied-To in Entire Graph" dataDxfId="141"/>
    <tableColumn id="2" name="Entire Graph Count" dataDxfId="137"/>
    <tableColumn id="3" name="Top Replied-To in G1" dataDxfId="136"/>
    <tableColumn id="4" name="G1 Count" dataDxfId="133"/>
    <tableColumn id="5" name="Top Replied-To in G2" dataDxfId="132"/>
    <tableColumn id="6" name="G2 Count" dataDxfId="129"/>
    <tableColumn id="7" name="Top Replied-To in G3" dataDxfId="128"/>
    <tableColumn id="8" name="G3 Count" dataDxfId="125"/>
    <tableColumn id="9" name="Top Replied-To in G4" dataDxfId="124"/>
    <tableColumn id="10" name="G4 Count" dataDxfId="121"/>
    <tableColumn id="11" name="Top Replied-To in G5" dataDxfId="120"/>
    <tableColumn id="12" name="G5 Count" dataDxfId="117"/>
    <tableColumn id="13" name="Top Replied-To in G6" dataDxfId="116"/>
    <tableColumn id="14" name="G6 Count" dataDxfId="115"/>
  </tableColumns>
  <tableStyleInfo name="NodeXL Table" showFirstColumn="0" showLastColumn="0" showRowStripes="1" showColumnStripes="0"/>
</table>
</file>

<file path=xl/tables/table18.xml><?xml version="1.0" encoding="utf-8"?>
<table xmlns="http://schemas.openxmlformats.org/spreadsheetml/2006/main" id="18" name="TwitterSearchNetworkTopItems_7" displayName="TwitterSearchNetworkTopItems_7" ref="A59:N69" totalsRowShown="0" headerRowDxfId="140" dataDxfId="139">
  <autoFilter ref="A59:N69"/>
  <tableColumns count="14">
    <tableColumn id="1" name="Top Mentioned in Entire Graph" dataDxfId="138"/>
    <tableColumn id="2" name="Entire Graph Count" dataDxfId="135"/>
    <tableColumn id="3" name="Top Mentioned in G1" dataDxfId="134"/>
    <tableColumn id="4" name="G1 Count" dataDxfId="131"/>
    <tableColumn id="5" name="Top Mentioned in G2" dataDxfId="130"/>
    <tableColumn id="6" name="G2 Count" dataDxfId="127"/>
    <tableColumn id="7" name="Top Mentioned in G3" dataDxfId="126"/>
    <tableColumn id="8" name="G3 Count" dataDxfId="123"/>
    <tableColumn id="9" name="Top Mentioned in G4" dataDxfId="122"/>
    <tableColumn id="10" name="G4 Count" dataDxfId="119"/>
    <tableColumn id="11" name="Top Mentioned in G5" dataDxfId="118"/>
    <tableColumn id="12" name="G5 Count" dataDxfId="114"/>
    <tableColumn id="13" name="Top Mentioned in G6" dataDxfId="113"/>
    <tableColumn id="14" name="G6 Count" dataDxfId="112"/>
  </tableColumns>
  <tableStyleInfo name="NodeXL Table" showFirstColumn="0" showLastColumn="0" showRowStripes="1" showColumnStripes="0"/>
</table>
</file>

<file path=xl/tables/table19.xml><?xml version="1.0" encoding="utf-8"?>
<table xmlns="http://schemas.openxmlformats.org/spreadsheetml/2006/main" id="19" name="TwitterSearchNetworkTopItems_8" displayName="TwitterSearchNetworkTopItems_8" ref="A72:N82" totalsRowShown="0" headerRowDxfId="109" dataDxfId="108">
  <autoFilter ref="A72:N82"/>
  <tableColumns count="14">
    <tableColumn id="1" name="Top Tweeters in Entire Graph" dataDxfId="107"/>
    <tableColumn id="2" name="Entire Graph Count" dataDxfId="106"/>
    <tableColumn id="3" name="Top Tweeters in G1" dataDxfId="105"/>
    <tableColumn id="4" name="G1 Count" dataDxfId="104"/>
    <tableColumn id="5" name="Top Tweeters in G2" dataDxfId="103"/>
    <tableColumn id="6" name="G2 Count" dataDxfId="102"/>
    <tableColumn id="7" name="Top Tweeters in G3" dataDxfId="101"/>
    <tableColumn id="8" name="G3 Count" dataDxfId="100"/>
    <tableColumn id="9" name="Top Tweeters in G4" dataDxfId="99"/>
    <tableColumn id="10" name="G4 Count" dataDxfId="98"/>
    <tableColumn id="11" name="Top Tweeters in G5" dataDxfId="97"/>
    <tableColumn id="12" name="G5 Count" dataDxfId="96"/>
    <tableColumn id="13" name="Top Tweeters in G6" dataDxfId="95"/>
    <tableColumn id="14" name="G6 Count" dataDxfId="94"/>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29" totalsRowShown="0" headerRowDxfId="310" dataDxfId="309">
  <autoFilter ref="A2:BT29"/>
  <tableColumns count="72">
    <tableColumn id="1" name="Vertex" dataDxfId="308"/>
    <tableColumn id="72" name="Subgraph"/>
    <tableColumn id="2" name="Color" dataDxfId="307"/>
    <tableColumn id="5" name="Shape" dataDxfId="306"/>
    <tableColumn id="6" name="Size" dataDxfId="305"/>
    <tableColumn id="4" name="Opacity" dataDxfId="304"/>
    <tableColumn id="7" name="Image File" dataDxfId="303"/>
    <tableColumn id="3" name="Visibility" dataDxfId="302"/>
    <tableColumn id="10" name="Label" dataDxfId="301"/>
    <tableColumn id="16" name="Label Fill Color" dataDxfId="300"/>
    <tableColumn id="9" name="Label Position" dataDxfId="299"/>
    <tableColumn id="8" name="Tooltip" dataDxfId="298"/>
    <tableColumn id="18" name="Layout Order" dataDxfId="297"/>
    <tableColumn id="13" name="X" dataDxfId="296"/>
    <tableColumn id="14" name="Y" dataDxfId="295"/>
    <tableColumn id="12" name="Locked?" dataDxfId="294"/>
    <tableColumn id="19" name="Polar R" dataDxfId="293"/>
    <tableColumn id="20" name="Polar Angle" dataDxfId="292"/>
    <tableColumn id="21" name="Degree" dataDxfId="12"/>
    <tableColumn id="22" name="In-Degree" dataDxfId="11"/>
    <tableColumn id="23" name="Out-Degree" dataDxfId="8"/>
    <tableColumn id="24" name="Betweenness Centrality" dataDxfId="7"/>
    <tableColumn id="25" name="Closeness Centrality" dataDxfId="6"/>
    <tableColumn id="26" name="Eigenvector Centrality" dataDxfId="4"/>
    <tableColumn id="15" name="PageRank" dataDxfId="5"/>
    <tableColumn id="27" name="Clustering Coefficient" dataDxfId="9"/>
    <tableColumn id="29" name="Reciprocated Vertex Pair Ratio" dataDxfId="10"/>
    <tableColumn id="11" name="ID" dataDxfId="291"/>
    <tableColumn id="28" name="Dynamic Filter" dataDxfId="290"/>
    <tableColumn id="17" name="Add Your Own Columns Here" dataDxfId="289"/>
    <tableColumn id="30" name="Name" dataDxfId="288"/>
    <tableColumn id="31" name="Followed" dataDxfId="287"/>
    <tableColumn id="32" name="Followers" dataDxfId="286"/>
    <tableColumn id="33" name="Tweets" dataDxfId="285"/>
    <tableColumn id="34" name="Favorites" dataDxfId="284"/>
    <tableColumn id="35" name="Time Zone UTC Offset (Seconds)" dataDxfId="283"/>
    <tableColumn id="36" name="Description" dataDxfId="282"/>
    <tableColumn id="37" name="Location" dataDxfId="281"/>
    <tableColumn id="38" name="Web" dataDxfId="280"/>
    <tableColumn id="39" name="Time Zone" dataDxfId="279"/>
    <tableColumn id="40" name="Joined Twitter Date (UTC)" dataDxfId="278"/>
    <tableColumn id="41" name="Profile Banner Url" dataDxfId="277"/>
    <tableColumn id="42" name="Default Profile" dataDxfId="276"/>
    <tableColumn id="43" name="Default Profile Image" dataDxfId="275"/>
    <tableColumn id="44" name="Geo Enabled" dataDxfId="274"/>
    <tableColumn id="45" name="Language" dataDxfId="273"/>
    <tableColumn id="46" name="Listed Count" dataDxfId="272"/>
    <tableColumn id="47" name="Profile Background Image Url" dataDxfId="271"/>
    <tableColumn id="48" name="Verified" dataDxfId="270"/>
    <tableColumn id="49" name="Custom Menu Item Text" dataDxfId="269"/>
    <tableColumn id="50" name="Custom Menu Item Action" dataDxfId="268"/>
    <tableColumn id="51" name="Tweeted Search Term?" dataDxfId="235"/>
    <tableColumn id="52" name="Vertex Group" dataDxfId="92">
      <calculatedColumnFormula>REPLACE(INDEX(GroupVertices[Group], MATCH(Vertices[[#This Row],[Vertex]],GroupVertices[Vertex],0)),1,1,"")</calculatedColumnFormula>
    </tableColumn>
    <tableColumn id="53" name="Top URLs in Tweet by Count" dataDxfId="91"/>
    <tableColumn id="54" name="Top URLs in Tweet by Salience" dataDxfId="90"/>
    <tableColumn id="55" name="Top Domains in Tweet by Count" dataDxfId="89"/>
    <tableColumn id="56" name="Top Domains in Tweet by Salience" dataDxfId="88"/>
    <tableColumn id="57" name="Top Hashtags in Tweet by Count" dataDxfId="87"/>
    <tableColumn id="58" name="Top Hashtags in Tweet by Salience" dataDxfId="86"/>
    <tableColumn id="59" name="Top Words in Tweet by Count" dataDxfId="85"/>
    <tableColumn id="60" name="Top Words in Tweet by Salience" dataDxfId="84"/>
    <tableColumn id="61" name="Top Word Pairs in Tweet by Count" dataDxfId="83"/>
    <tableColumn id="62" name="Top Word Pairs in Tweet by Salience" dataDxfId="49"/>
    <tableColumn id="63" name="Sentiment List #1: Positive Word Count" dataDxfId="48"/>
    <tableColumn id="64" name="Sentiment List #1: Positive Word Percentage (%)" dataDxfId="47"/>
    <tableColumn id="65" name="Sentiment List #2: Negative Word Count" dataDxfId="46"/>
    <tableColumn id="66" name="Sentiment List #2: Negative Word Percentage (%)" dataDxfId="45"/>
    <tableColumn id="67" name="Sentiment List #3: Angry/Violent Word Count" dataDxfId="44"/>
    <tableColumn id="68" name="Sentiment List #3: Angry/Violent Word Percentage (%)" dataDxfId="43"/>
    <tableColumn id="69" name="Non-categorized Word Count" dataDxfId="42"/>
    <tableColumn id="70" name="Non-categorized Word Percentage (%)" dataDxfId="41"/>
    <tableColumn id="71" name="Vertex Content Word Count" dataDxfId="40"/>
  </tableColumns>
  <tableStyleInfo name="NodeXL Table" showFirstColumn="0" showLastColumn="0" showRowStripes="0" showColumnStripes="0"/>
</table>
</file>

<file path=xl/tables/table20.xml><?xml version="1.0" encoding="utf-8"?>
<table xmlns="http://schemas.openxmlformats.org/spreadsheetml/2006/main" id="20" name="Words" displayName="Words" ref="A1:G118" totalsRowShown="0" headerRowDxfId="82" dataDxfId="81">
  <autoFilter ref="A1:G118"/>
  <tableColumns count="7">
    <tableColumn id="1" name="Word" dataDxfId="80"/>
    <tableColumn id="2" name="Count" dataDxfId="79"/>
    <tableColumn id="3" name="Salience" dataDxfId="78"/>
    <tableColumn id="4" name="Group" dataDxfId="77"/>
    <tableColumn id="5" name="Word on Sentiment List #1: Positive" dataDxfId="76"/>
    <tableColumn id="6" name="Word on Sentiment List #2: Negative" dataDxfId="75"/>
    <tableColumn id="7" name="Word on Sentiment List #3: Angry/Violent" dataDxfId="74"/>
  </tableColumns>
  <tableStyleInfo name="NodeXL Table" showFirstColumn="0" showLastColumn="0" showRowStripes="1" showColumnStripes="0"/>
</table>
</file>

<file path=xl/tables/table21.xml><?xml version="1.0" encoding="utf-8"?>
<table xmlns="http://schemas.openxmlformats.org/spreadsheetml/2006/main" id="21" name="WordPairs" displayName="WordPairs" ref="A1:L91" totalsRowShown="0" headerRowDxfId="73" dataDxfId="72">
  <autoFilter ref="A1:L91"/>
  <tableColumns count="12">
    <tableColumn id="1" name="Word 1" dataDxfId="71"/>
    <tableColumn id="2" name="Word 2" dataDxfId="70"/>
    <tableColumn id="3" name="Count" dataDxfId="69"/>
    <tableColumn id="4" name="Salience" dataDxfId="68"/>
    <tableColumn id="5" name="Mutual Information" dataDxfId="67"/>
    <tableColumn id="6" name="Group" dataDxfId="66"/>
    <tableColumn id="7" name="Word1 on Sentiment List #1: Positive" dataDxfId="65"/>
    <tableColumn id="8" name="Word1 on Sentiment List #2: Negative" dataDxfId="64"/>
    <tableColumn id="9" name="Word1 on Sentiment List #3: Angry/Violent" dataDxfId="63"/>
    <tableColumn id="10" name="Word2 on Sentiment List #1: Positive" dataDxfId="62"/>
    <tableColumn id="11" name="Word2 on Sentiment List #2: Negative" dataDxfId="61"/>
    <tableColumn id="12" name="Word2 on Sentiment List #3: Angry/Violent" dataDxfId="60"/>
  </tableColumns>
  <tableStyleInfo name="NodeXL Table" showFirstColumn="0" showLastColumn="0" showRowStripes="1" showColumnStripes="0"/>
</table>
</file>

<file path=xl/tables/table22.xml><?xml version="1.0" encoding="utf-8"?>
<table xmlns="http://schemas.openxmlformats.org/spreadsheetml/2006/main" id="22" name="TopItems_1" displayName="TopItems_1" ref="A1:B11" totalsRowShown="0" headerRowDxfId="3" dataDxfId="2">
  <autoFilter ref="A1:B11"/>
  <tableColumns count="2">
    <tableColumn id="1" name="Top 10 Vertices, Ranked by Betweenness Centrality" dataDxfId="1"/>
    <tableColumn id="2" name="Betweenness Centrality" dataDxfId="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8" totalsRowShown="0" headerRowDxfId="267">
  <autoFilter ref="A2:AO8"/>
  <tableColumns count="41">
    <tableColumn id="1" name="Group" dataDxfId="242"/>
    <tableColumn id="2" name="Vertex Color" dataDxfId="241"/>
    <tableColumn id="3" name="Vertex Shape" dataDxfId="239"/>
    <tableColumn id="22" name="Visibility" dataDxfId="240"/>
    <tableColumn id="4" name="Collapsed?"/>
    <tableColumn id="18" name="Label" dataDxfId="266"/>
    <tableColumn id="20" name="Collapsed X"/>
    <tableColumn id="21" name="Collapsed Y"/>
    <tableColumn id="6" name="ID" dataDxfId="265"/>
    <tableColumn id="19" name="Collapsed Properties" dataDxfId="28"/>
    <tableColumn id="5" name="Vertices" dataDxfId="27"/>
    <tableColumn id="7" name="Unique Edges" dataDxfId="26"/>
    <tableColumn id="8" name="Edges With Duplicates" dataDxfId="25"/>
    <tableColumn id="9" name="Total Edges" dataDxfId="24"/>
    <tableColumn id="10" name="Self-Loops" dataDxfId="23"/>
    <tableColumn id="24" name="Reciprocated Vertex Pair Ratio" dataDxfId="22"/>
    <tableColumn id="25" name="Reciprocated Edge Ratio" dataDxfId="21"/>
    <tableColumn id="11" name="Connected Components" dataDxfId="20"/>
    <tableColumn id="12" name="Single-Vertex Connected Components" dataDxfId="19"/>
    <tableColumn id="13" name="Maximum Vertices in a Connected Component" dataDxfId="18"/>
    <tableColumn id="14" name="Maximum Edges in a Connected Component" dataDxfId="17"/>
    <tableColumn id="15" name="Maximum Geodesic Distance (Diameter)" dataDxfId="16"/>
    <tableColumn id="16" name="Average Geodesic Distance" dataDxfId="15"/>
    <tableColumn id="17" name="Graph Density" dataDxfId="13"/>
    <tableColumn id="23" name="Top URLs in Tweet" dataDxfId="14"/>
    <tableColumn id="26" name="Top Domains in Tweet" dataDxfId="178"/>
    <tableColumn id="27" name="Top Hashtags in Tweet" dataDxfId="161"/>
    <tableColumn id="28" name="Top Words in Tweet" dataDxfId="144"/>
    <tableColumn id="29" name="Top Word Pairs in Tweet" dataDxfId="111"/>
    <tableColumn id="30" name="Top Replied-To in Tweet" dataDxfId="110"/>
    <tableColumn id="31" name="Top Mentioned in Tweet" dataDxfId="93"/>
    <tableColumn id="32" name="Top Tweeters" dataDxfId="39"/>
    <tableColumn id="33" name="Sentiment List #1: Positive Word Count" dataDxfId="38"/>
    <tableColumn id="34" name="Sentiment List #1: Positive Word Percentage (%)" dataDxfId="37"/>
    <tableColumn id="35" name="Sentiment List #2: Negative Word Count" dataDxfId="36"/>
    <tableColumn id="36" name="Sentiment List #2: Negative Word Percentage (%)" dataDxfId="35"/>
    <tableColumn id="37" name="Sentiment List #3: Angry/Violent Word Count" dataDxfId="34"/>
    <tableColumn id="38" name="Sentiment List #3: Angry/Violent Word Percentage (%)" dataDxfId="33"/>
    <tableColumn id="39" name="Non-categorized Word Count" dataDxfId="32"/>
    <tableColumn id="40" name="Non-categorized Word Percentage (%)" dataDxfId="31"/>
    <tableColumn id="41" name="Group Content Word Count" dataDxfId="30"/>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8" totalsRowShown="0" headerRowDxfId="264" dataDxfId="263">
  <autoFilter ref="A1:C28"/>
  <tableColumns count="3">
    <tableColumn id="1" name="Group" dataDxfId="238"/>
    <tableColumn id="2" name="Vertex" dataDxfId="237"/>
    <tableColumn id="3" name="Vertex ID" dataDxfId="236">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26" totalsRowShown="0">
  <autoFilter ref="A1:B26"/>
  <tableColumns count="2">
    <tableColumn id="1" name="Graph Metric" dataDxfId="228"/>
    <tableColumn id="2" name="Value" dataDxfId="227"/>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262"/>
    <tableColumn id="2" name="Degree Frequency" dataDxfId="261">
      <calculatedColumnFormula>COUNTIF(Vertices[Degree], "&gt;= " &amp; D2) - COUNTIF(Vertices[Degree], "&gt;=" &amp; D3)</calculatedColumnFormula>
    </tableColumn>
    <tableColumn id="3" name="In-Degree Bin" dataDxfId="260"/>
    <tableColumn id="4" name="In-Degree Frequency" dataDxfId="259">
      <calculatedColumnFormula>COUNTIF(Vertices[In-Degree], "&gt;= " &amp; F2) - COUNTIF(Vertices[In-Degree], "&gt;=" &amp; F3)</calculatedColumnFormula>
    </tableColumn>
    <tableColumn id="5" name="Out-Degree Bin" dataDxfId="258"/>
    <tableColumn id="6" name="Out-Degree Frequency" dataDxfId="257">
      <calculatedColumnFormula>COUNTIF(Vertices[Out-Degree], "&gt;= " &amp; H2) - COUNTIF(Vertices[Out-Degree], "&gt;=" &amp; H3)</calculatedColumnFormula>
    </tableColumn>
    <tableColumn id="7" name="Betweenness Centrality Bin" dataDxfId="256"/>
    <tableColumn id="8" name="Betweenness Centrality Frequency" dataDxfId="255">
      <calculatedColumnFormula>COUNTIF(Vertices[Betweenness Centrality], "&gt;= " &amp; J2) - COUNTIF(Vertices[Betweenness Centrality], "&gt;=" &amp; J3)</calculatedColumnFormula>
    </tableColumn>
    <tableColumn id="9" name="Closeness Centrality Bin" dataDxfId="254"/>
    <tableColumn id="10" name="Closeness Centrality Frequency" dataDxfId="253">
      <calculatedColumnFormula>COUNTIF(Vertices[Closeness Centrality], "&gt;= " &amp; L2) - COUNTIF(Vertices[Closeness Centrality], "&gt;=" &amp; L3)</calculatedColumnFormula>
    </tableColumn>
    <tableColumn id="11" name="Eigenvector Centrality Bin" dataDxfId="252"/>
    <tableColumn id="12" name="Eigenvector Centrality Frequency" dataDxfId="251">
      <calculatedColumnFormula>COUNTIF(Vertices[Eigenvector Centrality], "&gt;= " &amp; N2) - COUNTIF(Vertices[Eigenvector Centrality], "&gt;=" &amp; N3)</calculatedColumnFormula>
    </tableColumn>
    <tableColumn id="18" name="PageRank Bin" dataDxfId="250"/>
    <tableColumn id="17" name="PageRank Frequency" dataDxfId="249">
      <calculatedColumnFormula>COUNTIF(Vertices[Eigenvector Centrality], "&gt;= " &amp; P2) - COUNTIF(Vertices[Eigenvector Centrality], "&gt;=" &amp; P3)</calculatedColumnFormula>
    </tableColumn>
    <tableColumn id="13" name="Clustering Coefficient Bin" dataDxfId="248"/>
    <tableColumn id="14" name="Clustering Coefficient Frequency" dataDxfId="247">
      <calculatedColumnFormula>COUNTIF(Vertices[Clustering Coefficient], "&gt;= " &amp; R2) - COUNTIF(Vertices[Clustering Coefficient], "&gt;=" &amp; R3)</calculatedColumnFormula>
    </tableColumn>
    <tableColumn id="15" name="Dynamic Filter Bin" dataDxfId="246"/>
    <tableColumn id="16" name="Dynamic Filter Frequency" dataDxfId="245">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4" totalsRowShown="0">
  <autoFilter ref="A41:B4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44">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pervade.umd.edu/event/websci-19/" TargetMode="External" /><Relationship Id="rId2" Type="http://schemas.openxmlformats.org/officeDocument/2006/relationships/hyperlink" Target="https://www.nytimes.com/2019/06/30/opinion/immigrants-social-media.html" TargetMode="External" /><Relationship Id="rId3" Type="http://schemas.openxmlformats.org/officeDocument/2006/relationships/hyperlink" Target="https://www.nytimes.com/2019/06/30/opinion/immigrants-social-media.html" TargetMode="External" /><Relationship Id="rId4" Type="http://schemas.openxmlformats.org/officeDocument/2006/relationships/hyperlink" Target="https://www.khoury.northeastern.edu/general/acm-websci-19-at-northeastern-brings-together-experts-from-many-disciplines/" TargetMode="External" /><Relationship Id="rId5" Type="http://schemas.openxmlformats.org/officeDocument/2006/relationships/hyperlink" Target="https://www.khoury.northeastern.edu/general/acm-websci-19-at-northeastern-brings-together-experts-from-many-disciplines/" TargetMode="External" /><Relationship Id="rId6" Type="http://schemas.openxmlformats.org/officeDocument/2006/relationships/hyperlink" Target="https://twitter.com/CChelmis/status/1146043799187206144" TargetMode="External" /><Relationship Id="rId7" Type="http://schemas.openxmlformats.org/officeDocument/2006/relationships/hyperlink" Target="https://pbs.twimg.com/media/D9282JEXYAETRnW.jpg" TargetMode="External" /><Relationship Id="rId8" Type="http://schemas.openxmlformats.org/officeDocument/2006/relationships/hyperlink" Target="https://pbs.twimg.com/media/D-Fb8ELX4AEmJZS.jpg" TargetMode="External" /><Relationship Id="rId9" Type="http://schemas.openxmlformats.org/officeDocument/2006/relationships/hyperlink" Target="https://pbs.twimg.com/media/D-aQCOuXsAAFLLq.jpg" TargetMode="External" /><Relationship Id="rId10" Type="http://schemas.openxmlformats.org/officeDocument/2006/relationships/hyperlink" Target="https://pbs.twimg.com/media/D-ZIz-qVUAALFRg.jpg" TargetMode="External" /><Relationship Id="rId11" Type="http://schemas.openxmlformats.org/officeDocument/2006/relationships/hyperlink" Target="https://pbs.twimg.com/media/D-eQ-PxUIAA1_07.jpg" TargetMode="External" /><Relationship Id="rId12" Type="http://schemas.openxmlformats.org/officeDocument/2006/relationships/hyperlink" Target="https://pbs.twimg.com/media/D-eQ-PxUIAA1_07.jpg" TargetMode="External" /><Relationship Id="rId13" Type="http://schemas.openxmlformats.org/officeDocument/2006/relationships/hyperlink" Target="https://pbs.twimg.com/media/D-aWaCEU8AAvxkC.jpg" TargetMode="External" /><Relationship Id="rId14" Type="http://schemas.openxmlformats.org/officeDocument/2006/relationships/hyperlink" Target="https://pbs.twimg.com/media/D-aWzU9UwAArnP_.jpg" TargetMode="External" /><Relationship Id="rId15" Type="http://schemas.openxmlformats.org/officeDocument/2006/relationships/hyperlink" Target="https://pbs.twimg.com/media/D-eQ-PxUIAA1_07.jpg" TargetMode="External" /><Relationship Id="rId16" Type="http://schemas.openxmlformats.org/officeDocument/2006/relationships/hyperlink" Target="http://pbs.twimg.com/profile_images/864450427932114945/Ih-T5zEA_normal.jpg" TargetMode="External" /><Relationship Id="rId17" Type="http://schemas.openxmlformats.org/officeDocument/2006/relationships/hyperlink" Target="http://pbs.twimg.com/profile_images/864450427932114945/Ih-T5zEA_normal.jpg" TargetMode="External" /><Relationship Id="rId18" Type="http://schemas.openxmlformats.org/officeDocument/2006/relationships/hyperlink" Target="http://pbs.twimg.com/profile_images/841803825665187841/-Ok2hipH_normal.jpg" TargetMode="External" /><Relationship Id="rId19" Type="http://schemas.openxmlformats.org/officeDocument/2006/relationships/hyperlink" Target="http://pbs.twimg.com/profile_images/841803825665187841/-Ok2hipH_normal.jpg" TargetMode="External" /><Relationship Id="rId20" Type="http://schemas.openxmlformats.org/officeDocument/2006/relationships/hyperlink" Target="http://pbs.twimg.com/profile_images/882983595744165889/1cDtYfZV_normal.jpg" TargetMode="External" /><Relationship Id="rId21" Type="http://schemas.openxmlformats.org/officeDocument/2006/relationships/hyperlink" Target="http://pbs.twimg.com/profile_images/882983595744165889/1cDtYfZV_normal.jpg" TargetMode="External" /><Relationship Id="rId22" Type="http://schemas.openxmlformats.org/officeDocument/2006/relationships/hyperlink" Target="https://pbs.twimg.com/media/D9282JEXYAETRnW.jpg" TargetMode="External" /><Relationship Id="rId23" Type="http://schemas.openxmlformats.org/officeDocument/2006/relationships/hyperlink" Target="http://pbs.twimg.com/profile_images/858732102862483456/rzI0kX-i_normal.jpg" TargetMode="External" /><Relationship Id="rId24" Type="http://schemas.openxmlformats.org/officeDocument/2006/relationships/hyperlink" Target="http://pbs.twimg.com/profile_images/858732102862483456/rzI0kX-i_normal.jpg" TargetMode="External" /><Relationship Id="rId25" Type="http://schemas.openxmlformats.org/officeDocument/2006/relationships/hyperlink" Target="http://pbs.twimg.com/profile_images/1137426815759376384/DkfmSuOK_normal.jpg" TargetMode="External" /><Relationship Id="rId26" Type="http://schemas.openxmlformats.org/officeDocument/2006/relationships/hyperlink" Target="http://pbs.twimg.com/profile_images/1137426815759376384/DkfmSuOK_normal.jpg" TargetMode="External" /><Relationship Id="rId27" Type="http://schemas.openxmlformats.org/officeDocument/2006/relationships/hyperlink" Target="http://pbs.twimg.com/profile_images/976301563869265920/WXyNjkFo_normal.jpg" TargetMode="External" /><Relationship Id="rId28" Type="http://schemas.openxmlformats.org/officeDocument/2006/relationships/hyperlink" Target="http://pbs.twimg.com/profile_images/976301563869265920/WXyNjkFo_normal.jpg" TargetMode="External" /><Relationship Id="rId29" Type="http://schemas.openxmlformats.org/officeDocument/2006/relationships/hyperlink" Target="http://pbs.twimg.com/profile_images/1087888820811558918/dwfYBqPD_normal.jpg" TargetMode="External" /><Relationship Id="rId30" Type="http://schemas.openxmlformats.org/officeDocument/2006/relationships/hyperlink" Target="http://pbs.twimg.com/profile_images/1087888820811558918/dwfYBqPD_normal.jpg" TargetMode="External" /><Relationship Id="rId31" Type="http://schemas.openxmlformats.org/officeDocument/2006/relationships/hyperlink" Target="http://pbs.twimg.com/profile_images/512724353432051712/u9vs2gOS_normal.jpeg" TargetMode="External" /><Relationship Id="rId32" Type="http://schemas.openxmlformats.org/officeDocument/2006/relationships/hyperlink" Target="http://pbs.twimg.com/profile_images/512724353432051712/u9vs2gOS_normal.jpeg" TargetMode="External" /><Relationship Id="rId33" Type="http://schemas.openxmlformats.org/officeDocument/2006/relationships/hyperlink" Target="http://pbs.twimg.com/profile_images/769933008250044416/3iCc7nAn_normal.jpg" TargetMode="External" /><Relationship Id="rId34" Type="http://schemas.openxmlformats.org/officeDocument/2006/relationships/hyperlink" Target="http://pbs.twimg.com/profile_images/769933008250044416/3iCc7nAn_normal.jpg" TargetMode="External" /><Relationship Id="rId35" Type="http://schemas.openxmlformats.org/officeDocument/2006/relationships/hyperlink" Target="http://pbs.twimg.com/profile_images/3464150917/7618ea0fe388b345e2450cee465a4ea1_normal.jpeg" TargetMode="External" /><Relationship Id="rId36" Type="http://schemas.openxmlformats.org/officeDocument/2006/relationships/hyperlink" Target="http://pbs.twimg.com/profile_images/3464150917/7618ea0fe388b345e2450cee465a4ea1_normal.jpeg" TargetMode="External" /><Relationship Id="rId37" Type="http://schemas.openxmlformats.org/officeDocument/2006/relationships/hyperlink" Target="http://pbs.twimg.com/profile_images/1025114534095273986/pnFxrGbv_normal.jpg" TargetMode="External" /><Relationship Id="rId38" Type="http://schemas.openxmlformats.org/officeDocument/2006/relationships/hyperlink" Target="http://pbs.twimg.com/profile_images/728984748677341184/a42Pkbh3_normal.jpg" TargetMode="External" /><Relationship Id="rId39" Type="http://schemas.openxmlformats.org/officeDocument/2006/relationships/hyperlink" Target="http://pbs.twimg.com/profile_images/728984748677341184/a42Pkbh3_normal.jpg" TargetMode="External" /><Relationship Id="rId40" Type="http://schemas.openxmlformats.org/officeDocument/2006/relationships/hyperlink" Target="http://pbs.twimg.com/profile_images/931731378621812736/w8VzS6SD_normal.jpg" TargetMode="External" /><Relationship Id="rId41" Type="http://schemas.openxmlformats.org/officeDocument/2006/relationships/hyperlink" Target="http://pbs.twimg.com/profile_images/931731378621812736/w8VzS6SD_normal.jpg" TargetMode="External" /><Relationship Id="rId42" Type="http://schemas.openxmlformats.org/officeDocument/2006/relationships/hyperlink" Target="http://pbs.twimg.com/profile_images/754859214544175104/7Xk06_Hr_normal.jpg" TargetMode="External" /><Relationship Id="rId43" Type="http://schemas.openxmlformats.org/officeDocument/2006/relationships/hyperlink" Target="http://pbs.twimg.com/profile_images/931731378621812736/w8VzS6SD_normal.jpg" TargetMode="External" /><Relationship Id="rId44" Type="http://schemas.openxmlformats.org/officeDocument/2006/relationships/hyperlink" Target="http://pbs.twimg.com/profile_images/754859214544175104/7Xk06_Hr_normal.jpg" TargetMode="External" /><Relationship Id="rId45" Type="http://schemas.openxmlformats.org/officeDocument/2006/relationships/hyperlink" Target="http://pbs.twimg.com/profile_images/1205664680/erickson_twit_normal.jpg" TargetMode="External" /><Relationship Id="rId46" Type="http://schemas.openxmlformats.org/officeDocument/2006/relationships/hyperlink" Target="http://pbs.twimg.com/profile_images/1205664680/erickson_twit_normal.jpg" TargetMode="External" /><Relationship Id="rId47" Type="http://schemas.openxmlformats.org/officeDocument/2006/relationships/hyperlink" Target="https://pbs.twimg.com/media/D-Fb8ELX4AEmJZS.jpg" TargetMode="External" /><Relationship Id="rId48" Type="http://schemas.openxmlformats.org/officeDocument/2006/relationships/hyperlink" Target="https://pbs.twimg.com/media/D-aQCOuXsAAFLLq.jpg" TargetMode="External" /><Relationship Id="rId49" Type="http://schemas.openxmlformats.org/officeDocument/2006/relationships/hyperlink" Target="http://pbs.twimg.com/profile_images/378800000697318472/3ac4ee14df618921c5617e6fc0d6c092_normal.jpeg" TargetMode="External" /><Relationship Id="rId50" Type="http://schemas.openxmlformats.org/officeDocument/2006/relationships/hyperlink" Target="https://pbs.twimg.com/media/D-ZIz-qVUAALFRg.jpg" TargetMode="External" /><Relationship Id="rId51" Type="http://schemas.openxmlformats.org/officeDocument/2006/relationships/hyperlink" Target="http://pbs.twimg.com/profile_images/378800000697318472/3ac4ee14df618921c5617e6fc0d6c092_normal.jpeg" TargetMode="External" /><Relationship Id="rId52" Type="http://schemas.openxmlformats.org/officeDocument/2006/relationships/hyperlink" Target="https://pbs.twimg.com/media/D-eQ-PxUIAA1_07.jpg" TargetMode="External" /><Relationship Id="rId53" Type="http://schemas.openxmlformats.org/officeDocument/2006/relationships/hyperlink" Target="https://pbs.twimg.com/media/D-eQ-PxUIAA1_07.jpg" TargetMode="External" /><Relationship Id="rId54" Type="http://schemas.openxmlformats.org/officeDocument/2006/relationships/hyperlink" Target="https://pbs.twimg.com/media/D-aWaCEU8AAvxkC.jpg" TargetMode="External" /><Relationship Id="rId55" Type="http://schemas.openxmlformats.org/officeDocument/2006/relationships/hyperlink" Target="https://pbs.twimg.com/media/D-aWzU9UwAArnP_.jpg" TargetMode="External" /><Relationship Id="rId56" Type="http://schemas.openxmlformats.org/officeDocument/2006/relationships/hyperlink" Target="https://pbs.twimg.com/media/D-eQ-PxUIAA1_07.jpg" TargetMode="External" /><Relationship Id="rId57" Type="http://schemas.openxmlformats.org/officeDocument/2006/relationships/hyperlink" Target="https://twitter.com/#!/rebekahktromble/status/1143180934373609473" TargetMode="External" /><Relationship Id="rId58" Type="http://schemas.openxmlformats.org/officeDocument/2006/relationships/hyperlink" Target="https://twitter.com/#!/rebekahktromble/status/1143180934373609473" TargetMode="External" /><Relationship Id="rId59" Type="http://schemas.openxmlformats.org/officeDocument/2006/relationships/hyperlink" Target="https://twitter.com/#!/jhblackb/status/1143278279056605184" TargetMode="External" /><Relationship Id="rId60" Type="http://schemas.openxmlformats.org/officeDocument/2006/relationships/hyperlink" Target="https://twitter.com/#!/jhblackb/status/1143278279056605184" TargetMode="External" /><Relationship Id="rId61" Type="http://schemas.openxmlformats.org/officeDocument/2006/relationships/hyperlink" Target="https://twitter.com/#!/idramalab/status/1143278323646287872" TargetMode="External" /><Relationship Id="rId62" Type="http://schemas.openxmlformats.org/officeDocument/2006/relationships/hyperlink" Target="https://twitter.com/#!/idramalab/status/1143278323646287872" TargetMode="External" /><Relationship Id="rId63" Type="http://schemas.openxmlformats.org/officeDocument/2006/relationships/hyperlink" Target="https://twitter.com/#!/emilianoucl/status/1143277735839711232" TargetMode="External" /><Relationship Id="rId64" Type="http://schemas.openxmlformats.org/officeDocument/2006/relationships/hyperlink" Target="https://twitter.com/#!/gianluca_string/status/1143278517733535745" TargetMode="External" /><Relationship Id="rId65" Type="http://schemas.openxmlformats.org/officeDocument/2006/relationships/hyperlink" Target="https://twitter.com/#!/gianluca_string/status/1143278517733535745" TargetMode="External" /><Relationship Id="rId66" Type="http://schemas.openxmlformats.org/officeDocument/2006/relationships/hyperlink" Target="https://twitter.com/#!/diegocaro/status/1145015127407767554" TargetMode="External" /><Relationship Id="rId67" Type="http://schemas.openxmlformats.org/officeDocument/2006/relationships/hyperlink" Target="https://twitter.com/#!/diegocaro/status/1145015127407767554" TargetMode="External" /><Relationship Id="rId68" Type="http://schemas.openxmlformats.org/officeDocument/2006/relationships/hyperlink" Target="https://twitter.com/#!/gonzalobarria/status/1145019813661741056" TargetMode="External" /><Relationship Id="rId69" Type="http://schemas.openxmlformats.org/officeDocument/2006/relationships/hyperlink" Target="https://twitter.com/#!/gonzalobarria/status/1145019813661741056" TargetMode="External" /><Relationship Id="rId70" Type="http://schemas.openxmlformats.org/officeDocument/2006/relationships/hyperlink" Target="https://twitter.com/#!/pauvasquezh/status/1145082300117540869" TargetMode="External" /><Relationship Id="rId71" Type="http://schemas.openxmlformats.org/officeDocument/2006/relationships/hyperlink" Target="https://twitter.com/#!/pauvasquezh/status/1145082300117540869" TargetMode="External" /><Relationship Id="rId72" Type="http://schemas.openxmlformats.org/officeDocument/2006/relationships/hyperlink" Target="https://twitter.com/#!/aastroza/status/1145134995847168000" TargetMode="External" /><Relationship Id="rId73" Type="http://schemas.openxmlformats.org/officeDocument/2006/relationships/hyperlink" Target="https://twitter.com/#!/aastroza/status/1145134995847168000" TargetMode="External" /><Relationship Id="rId74" Type="http://schemas.openxmlformats.org/officeDocument/2006/relationships/hyperlink" Target="https://twitter.com/#!/franvarela/status/1145341694747041793" TargetMode="External" /><Relationship Id="rId75" Type="http://schemas.openxmlformats.org/officeDocument/2006/relationships/hyperlink" Target="https://twitter.com/#!/franvarela/status/1145341694747041793" TargetMode="External" /><Relationship Id="rId76" Type="http://schemas.openxmlformats.org/officeDocument/2006/relationships/hyperlink" Target="https://twitter.com/#!/elmanujano/status/1145359922202386434" TargetMode="External" /><Relationship Id="rId77" Type="http://schemas.openxmlformats.org/officeDocument/2006/relationships/hyperlink" Target="https://twitter.com/#!/elmanujano/status/1145359922202386434" TargetMode="External" /><Relationship Id="rId78" Type="http://schemas.openxmlformats.org/officeDocument/2006/relationships/hyperlink" Target="https://twitter.com/#!/carnby/status/1145013848279322627" TargetMode="External" /><Relationship Id="rId79" Type="http://schemas.openxmlformats.org/officeDocument/2006/relationships/hyperlink" Target="https://twitter.com/#!/congosto/status/1145378294780575744" TargetMode="External" /><Relationship Id="rId80" Type="http://schemas.openxmlformats.org/officeDocument/2006/relationships/hyperlink" Target="https://twitter.com/#!/congosto/status/1145378294780575744" TargetMode="External" /><Relationship Id="rId81" Type="http://schemas.openxmlformats.org/officeDocument/2006/relationships/hyperlink" Target="https://twitter.com/#!/michaelzimmer/status/1143176228196798465" TargetMode="External" /><Relationship Id="rId82" Type="http://schemas.openxmlformats.org/officeDocument/2006/relationships/hyperlink" Target="https://twitter.com/#!/michaelzimmer/status/1145448887345385472" TargetMode="External" /><Relationship Id="rId83" Type="http://schemas.openxmlformats.org/officeDocument/2006/relationships/hyperlink" Target="https://twitter.com/#!/jvitak/status/1145463292904783872" TargetMode="External" /><Relationship Id="rId84" Type="http://schemas.openxmlformats.org/officeDocument/2006/relationships/hyperlink" Target="https://twitter.com/#!/michaelzimmer/status/1145448887345385472" TargetMode="External" /><Relationship Id="rId85" Type="http://schemas.openxmlformats.org/officeDocument/2006/relationships/hyperlink" Target="https://twitter.com/#!/jvitak/status/1145463292904783872" TargetMode="External" /><Relationship Id="rId86" Type="http://schemas.openxmlformats.org/officeDocument/2006/relationships/hyperlink" Target="https://twitter.com/#!/olyerickson/status/1145633166499241984" TargetMode="External" /><Relationship Id="rId87" Type="http://schemas.openxmlformats.org/officeDocument/2006/relationships/hyperlink" Target="https://twitter.com/#!/olyerickson/status/1145633166499241984" TargetMode="External" /><Relationship Id="rId88" Type="http://schemas.openxmlformats.org/officeDocument/2006/relationships/hyperlink" Target="https://twitter.com/#!/khourycollege/status/1144296869532766208" TargetMode="External" /><Relationship Id="rId89" Type="http://schemas.openxmlformats.org/officeDocument/2006/relationships/hyperlink" Target="https://twitter.com/#!/khourycollege/status/1145761536469798914" TargetMode="External" /><Relationship Id="rId90" Type="http://schemas.openxmlformats.org/officeDocument/2006/relationships/hyperlink" Target="https://twitter.com/#!/miz_oka/status/1145659899281641472" TargetMode="External" /><Relationship Id="rId91" Type="http://schemas.openxmlformats.org/officeDocument/2006/relationships/hyperlink" Target="https://twitter.com/#!/miz_oka/status/1145683226607833088" TargetMode="External" /><Relationship Id="rId92" Type="http://schemas.openxmlformats.org/officeDocument/2006/relationships/hyperlink" Target="https://twitter.com/#!/miz_oka/status/1146044184144388096" TargetMode="External" /><Relationship Id="rId93" Type="http://schemas.openxmlformats.org/officeDocument/2006/relationships/hyperlink" Target="https://twitter.com/#!/exdwarf/status/1146044054095818752" TargetMode="External" /><Relationship Id="rId94" Type="http://schemas.openxmlformats.org/officeDocument/2006/relationships/hyperlink" Target="https://twitter.com/#!/damewendydbe/status/1146056613901418498" TargetMode="External" /><Relationship Id="rId95" Type="http://schemas.openxmlformats.org/officeDocument/2006/relationships/hyperlink" Target="https://twitter.com/#!/exdwarf/status/1145768538247815169" TargetMode="External" /><Relationship Id="rId96" Type="http://schemas.openxmlformats.org/officeDocument/2006/relationships/hyperlink" Target="https://twitter.com/#!/exdwarf/status/1145768973994094592" TargetMode="External" /><Relationship Id="rId97" Type="http://schemas.openxmlformats.org/officeDocument/2006/relationships/hyperlink" Target="https://twitter.com/#!/damewendydbe/status/1146056613901418498" TargetMode="External" /><Relationship Id="rId98" Type="http://schemas.openxmlformats.org/officeDocument/2006/relationships/comments" Target="../comments1.xml" /><Relationship Id="rId99" Type="http://schemas.openxmlformats.org/officeDocument/2006/relationships/vmlDrawing" Target="../drawings/vmlDrawing1.vml" /><Relationship Id="rId100" Type="http://schemas.openxmlformats.org/officeDocument/2006/relationships/table" Target="../tables/table1.xml" /><Relationship Id="rId10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22.xml" /></Relationships>
</file>

<file path=xl/worksheets/_rels/sheet2.xml.rels><?xml version="1.0" encoding="utf-8" standalone="yes"?><Relationships xmlns="http://schemas.openxmlformats.org/package/2006/relationships"><Relationship Id="rId1" Type="http://schemas.openxmlformats.org/officeDocument/2006/relationships/hyperlink" Target="https://t.co/vCD3GOcKmw" TargetMode="External" /><Relationship Id="rId2" Type="http://schemas.openxmlformats.org/officeDocument/2006/relationships/hyperlink" Target="https://t.co/4fS6oBSq8G" TargetMode="External" /><Relationship Id="rId3" Type="http://schemas.openxmlformats.org/officeDocument/2006/relationships/hyperlink" Target="https://t.co/0UCaSxpASf" TargetMode="External" /><Relationship Id="rId4" Type="http://schemas.openxmlformats.org/officeDocument/2006/relationships/hyperlink" Target="http://t.co/pvEpFMtrAm" TargetMode="External" /><Relationship Id="rId5" Type="http://schemas.openxmlformats.org/officeDocument/2006/relationships/hyperlink" Target="https://t.co/ShBBvqjUts" TargetMode="External" /><Relationship Id="rId6" Type="http://schemas.openxmlformats.org/officeDocument/2006/relationships/hyperlink" Target="https://t.co/dVAQ61heYx" TargetMode="External" /><Relationship Id="rId7" Type="http://schemas.openxmlformats.org/officeDocument/2006/relationships/hyperlink" Target="https://t.co/Rf2nsiXWa5" TargetMode="External" /><Relationship Id="rId8" Type="http://schemas.openxmlformats.org/officeDocument/2006/relationships/hyperlink" Target="https://t.co/Fgq8bvq7S2" TargetMode="External" /><Relationship Id="rId9" Type="http://schemas.openxmlformats.org/officeDocument/2006/relationships/hyperlink" Target="https://t.co/ZDRGafoQoB" TargetMode="External" /><Relationship Id="rId10" Type="http://schemas.openxmlformats.org/officeDocument/2006/relationships/hyperlink" Target="https://t.co/QtHZLFSPBs" TargetMode="External" /><Relationship Id="rId11" Type="http://schemas.openxmlformats.org/officeDocument/2006/relationships/hyperlink" Target="https://t.co/o6PzEgDsJg" TargetMode="External" /><Relationship Id="rId12" Type="http://schemas.openxmlformats.org/officeDocument/2006/relationships/hyperlink" Target="http://t.co/SeK1r2QYdR" TargetMode="External" /><Relationship Id="rId13" Type="http://schemas.openxmlformats.org/officeDocument/2006/relationships/hyperlink" Target="http://t.co/ELSb5fyD54" TargetMode="External" /><Relationship Id="rId14" Type="http://schemas.openxmlformats.org/officeDocument/2006/relationships/hyperlink" Target="https://t.co/6OI3tmZn5P" TargetMode="External" /><Relationship Id="rId15" Type="http://schemas.openxmlformats.org/officeDocument/2006/relationships/hyperlink" Target="https://t.co/CDMsFCw9fe" TargetMode="External" /><Relationship Id="rId16" Type="http://schemas.openxmlformats.org/officeDocument/2006/relationships/hyperlink" Target="https://t.co/B1d062WPKC" TargetMode="External" /><Relationship Id="rId17" Type="http://schemas.openxmlformats.org/officeDocument/2006/relationships/hyperlink" Target="http://t.co/ahvuWqicF9" TargetMode="External" /><Relationship Id="rId18" Type="http://schemas.openxmlformats.org/officeDocument/2006/relationships/hyperlink" Target="http://t.co/DtcPvYMt" TargetMode="External" /><Relationship Id="rId19" Type="http://schemas.openxmlformats.org/officeDocument/2006/relationships/hyperlink" Target="https://t.co/KIEKO2i7PU" TargetMode="External" /><Relationship Id="rId20" Type="http://schemas.openxmlformats.org/officeDocument/2006/relationships/hyperlink" Target="https://t.co/ukqmUhVOtH" TargetMode="External" /><Relationship Id="rId21" Type="http://schemas.openxmlformats.org/officeDocument/2006/relationships/hyperlink" Target="https://t.co/wr9X6ALpDS" TargetMode="External" /><Relationship Id="rId22" Type="http://schemas.openxmlformats.org/officeDocument/2006/relationships/hyperlink" Target="https://t.co/m0UkD95Igt" TargetMode="External" /><Relationship Id="rId23" Type="http://schemas.openxmlformats.org/officeDocument/2006/relationships/hyperlink" Target="https://t.co/8x2QGAloQ8" TargetMode="External" /><Relationship Id="rId24" Type="http://schemas.openxmlformats.org/officeDocument/2006/relationships/hyperlink" Target="https://pbs.twimg.com/profile_banners/905421382451941377/1504704430" TargetMode="External" /><Relationship Id="rId25" Type="http://schemas.openxmlformats.org/officeDocument/2006/relationships/hyperlink" Target="https://pbs.twimg.com/profile_banners/6168682/1468953960" TargetMode="External" /><Relationship Id="rId26" Type="http://schemas.openxmlformats.org/officeDocument/2006/relationships/hyperlink" Target="https://pbs.twimg.com/profile_banners/131186391/1516008465" TargetMode="External" /><Relationship Id="rId27" Type="http://schemas.openxmlformats.org/officeDocument/2006/relationships/hyperlink" Target="https://pbs.twimg.com/profile_banners/51169895/1536011653" TargetMode="External" /><Relationship Id="rId28" Type="http://schemas.openxmlformats.org/officeDocument/2006/relationships/hyperlink" Target="https://pbs.twimg.com/profile_banners/10457862/1403794835" TargetMode="External" /><Relationship Id="rId29" Type="http://schemas.openxmlformats.org/officeDocument/2006/relationships/hyperlink" Target="https://pbs.twimg.com/profile_banners/4824029985/1467311314" TargetMode="External" /><Relationship Id="rId30" Type="http://schemas.openxmlformats.org/officeDocument/2006/relationships/hyperlink" Target="https://pbs.twimg.com/profile_banners/18855622/1530470557" TargetMode="External" /><Relationship Id="rId31" Type="http://schemas.openxmlformats.org/officeDocument/2006/relationships/hyperlink" Target="https://pbs.twimg.com/profile_banners/74883793/1355448057" TargetMode="External" /><Relationship Id="rId32" Type="http://schemas.openxmlformats.org/officeDocument/2006/relationships/hyperlink" Target="https://pbs.twimg.com/profile_banners/913202025663430656/1533311152" TargetMode="External" /><Relationship Id="rId33" Type="http://schemas.openxmlformats.org/officeDocument/2006/relationships/hyperlink" Target="https://pbs.twimg.com/profile_banners/44369850/1559673510" TargetMode="External" /><Relationship Id="rId34" Type="http://schemas.openxmlformats.org/officeDocument/2006/relationships/hyperlink" Target="https://pbs.twimg.com/profile_banners/14308278/1472402006" TargetMode="External" /><Relationship Id="rId35" Type="http://schemas.openxmlformats.org/officeDocument/2006/relationships/hyperlink" Target="https://pbs.twimg.com/profile_banners/14620824/1416603898" TargetMode="External" /><Relationship Id="rId36" Type="http://schemas.openxmlformats.org/officeDocument/2006/relationships/hyperlink" Target="https://pbs.twimg.com/profile_banners/115763683/1554299656" TargetMode="External" /><Relationship Id="rId37" Type="http://schemas.openxmlformats.org/officeDocument/2006/relationships/hyperlink" Target="https://pbs.twimg.com/profile_banners/94384796/1445870572" TargetMode="External" /><Relationship Id="rId38" Type="http://schemas.openxmlformats.org/officeDocument/2006/relationships/hyperlink" Target="https://pbs.twimg.com/profile_banners/17369964/1490698485" TargetMode="External" /><Relationship Id="rId39" Type="http://schemas.openxmlformats.org/officeDocument/2006/relationships/hyperlink" Target="https://pbs.twimg.com/profile_banners/807095/1562009397" TargetMode="External" /><Relationship Id="rId40" Type="http://schemas.openxmlformats.org/officeDocument/2006/relationships/hyperlink" Target="https://pbs.twimg.com/profile_banners/1137416996/1492284659" TargetMode="External" /><Relationship Id="rId41" Type="http://schemas.openxmlformats.org/officeDocument/2006/relationships/hyperlink" Target="https://pbs.twimg.com/profile_banners/363160500/1556555154" TargetMode="External" /><Relationship Id="rId42" Type="http://schemas.openxmlformats.org/officeDocument/2006/relationships/hyperlink" Target="https://pbs.twimg.com/profile_banners/110633876/1535247211" TargetMode="External" /><Relationship Id="rId43" Type="http://schemas.openxmlformats.org/officeDocument/2006/relationships/hyperlink" Target="https://pbs.twimg.com/profile_banners/609929187/1410888524" TargetMode="External" /><Relationship Id="rId44" Type="http://schemas.openxmlformats.org/officeDocument/2006/relationships/hyperlink" Target="https://pbs.twimg.com/profile_banners/763365608683692032/1470905567" TargetMode="External" /><Relationship Id="rId45" Type="http://schemas.openxmlformats.org/officeDocument/2006/relationships/hyperlink" Target="https://pbs.twimg.com/profile_banners/36024756/1510052580" TargetMode="External" /><Relationship Id="rId46" Type="http://schemas.openxmlformats.org/officeDocument/2006/relationships/hyperlink" Target="http://abs.twimg.com/images/themes/theme1/bg.png" TargetMode="External" /><Relationship Id="rId47" Type="http://schemas.openxmlformats.org/officeDocument/2006/relationships/hyperlink" Target="http://abs.twimg.com/images/themes/theme9/bg.gif" TargetMode="External" /><Relationship Id="rId48" Type="http://schemas.openxmlformats.org/officeDocument/2006/relationships/hyperlink" Target="http://abs.twimg.com/images/themes/theme1/bg.png" TargetMode="External" /><Relationship Id="rId49" Type="http://schemas.openxmlformats.org/officeDocument/2006/relationships/hyperlink" Target="http://abs.twimg.com/images/themes/theme2/bg.gif" TargetMode="External" /><Relationship Id="rId50" Type="http://schemas.openxmlformats.org/officeDocument/2006/relationships/hyperlink" Target="http://abs.twimg.com/images/themes/theme9/bg.gif" TargetMode="External" /><Relationship Id="rId51" Type="http://schemas.openxmlformats.org/officeDocument/2006/relationships/hyperlink" Target="http://abs.twimg.com/images/themes/theme2/bg.gif" TargetMode="External" /><Relationship Id="rId52" Type="http://schemas.openxmlformats.org/officeDocument/2006/relationships/hyperlink" Target="http://abs.twimg.com/images/themes/theme15/bg.png" TargetMode="External" /><Relationship Id="rId53" Type="http://schemas.openxmlformats.org/officeDocument/2006/relationships/hyperlink" Target="http://abs.twimg.com/images/themes/theme14/bg.gif" TargetMode="External" /><Relationship Id="rId54" Type="http://schemas.openxmlformats.org/officeDocument/2006/relationships/hyperlink" Target="http://abs.twimg.com/images/themes/theme1/bg.png" TargetMode="External" /><Relationship Id="rId55" Type="http://schemas.openxmlformats.org/officeDocument/2006/relationships/hyperlink" Target="http://abs.twimg.com/images/themes/theme1/bg.png" TargetMode="External" /><Relationship Id="rId56" Type="http://schemas.openxmlformats.org/officeDocument/2006/relationships/hyperlink" Target="http://abs.twimg.com/images/themes/theme6/bg.gif" TargetMode="External" /><Relationship Id="rId57" Type="http://schemas.openxmlformats.org/officeDocument/2006/relationships/hyperlink" Target="http://abs.twimg.com/images/themes/theme1/bg.png" TargetMode="External" /><Relationship Id="rId58" Type="http://schemas.openxmlformats.org/officeDocument/2006/relationships/hyperlink" Target="http://abs.twimg.com/images/themes/theme1/bg.png" TargetMode="External" /><Relationship Id="rId59" Type="http://schemas.openxmlformats.org/officeDocument/2006/relationships/hyperlink" Target="http://abs.twimg.com/images/themes/theme7/bg.gif" TargetMode="External" /><Relationship Id="rId60" Type="http://schemas.openxmlformats.org/officeDocument/2006/relationships/hyperlink" Target="http://abs.twimg.com/images/themes/theme1/bg.png" TargetMode="External" /><Relationship Id="rId61" Type="http://schemas.openxmlformats.org/officeDocument/2006/relationships/hyperlink" Target="http://abs.twimg.com/images/themes/theme15/bg.png" TargetMode="External" /><Relationship Id="rId62" Type="http://schemas.openxmlformats.org/officeDocument/2006/relationships/hyperlink" Target="http://abs.twimg.com/images/themes/theme1/bg.png" TargetMode="External" /><Relationship Id="rId63" Type="http://schemas.openxmlformats.org/officeDocument/2006/relationships/hyperlink" Target="http://abs.twimg.com/images/themes/theme14/bg.gif" TargetMode="External" /><Relationship Id="rId64" Type="http://schemas.openxmlformats.org/officeDocument/2006/relationships/hyperlink" Target="http://abs.twimg.com/images/themes/theme1/bg.png" TargetMode="External" /><Relationship Id="rId65" Type="http://schemas.openxmlformats.org/officeDocument/2006/relationships/hyperlink" Target="http://abs.twimg.com/images/themes/theme14/bg.gif" TargetMode="External" /><Relationship Id="rId66" Type="http://schemas.openxmlformats.org/officeDocument/2006/relationships/hyperlink" Target="http://abs.twimg.com/images/themes/theme1/bg.png" TargetMode="External" /><Relationship Id="rId67" Type="http://schemas.openxmlformats.org/officeDocument/2006/relationships/hyperlink" Target="http://abs.twimg.com/images/themes/theme1/bg.png" TargetMode="External" /><Relationship Id="rId68" Type="http://schemas.openxmlformats.org/officeDocument/2006/relationships/hyperlink" Target="http://abs.twimg.com/images/themes/theme1/bg.png" TargetMode="External" /><Relationship Id="rId69" Type="http://schemas.openxmlformats.org/officeDocument/2006/relationships/hyperlink" Target="http://pbs.twimg.com/profile_images/864450427932114945/Ih-T5zEA_normal.jpg" TargetMode="External" /><Relationship Id="rId70" Type="http://schemas.openxmlformats.org/officeDocument/2006/relationships/hyperlink" Target="http://pbs.twimg.com/profile_images/930874152210354176/Tc9qVyeI_normal.jpg" TargetMode="External" /><Relationship Id="rId71" Type="http://schemas.openxmlformats.org/officeDocument/2006/relationships/hyperlink" Target="http://pbs.twimg.com/profile_images/931731378621812736/w8VzS6SD_normal.jpg" TargetMode="External" /><Relationship Id="rId72" Type="http://schemas.openxmlformats.org/officeDocument/2006/relationships/hyperlink" Target="http://pbs.twimg.com/profile_images/841803825665187841/-Ok2hipH_normal.jpg" TargetMode="External" /><Relationship Id="rId73" Type="http://schemas.openxmlformats.org/officeDocument/2006/relationships/hyperlink" Target="http://pbs.twimg.com/profile_images/522075391494606848/U80u5PT8_normal.jpeg" TargetMode="External" /><Relationship Id="rId74" Type="http://schemas.openxmlformats.org/officeDocument/2006/relationships/hyperlink" Target="http://pbs.twimg.com/profile_images/861540695940714498/qqksZ8UK_normal.jpg" TargetMode="External" /><Relationship Id="rId75" Type="http://schemas.openxmlformats.org/officeDocument/2006/relationships/hyperlink" Target="http://pbs.twimg.com/profile_images/882983595744165889/1cDtYfZV_normal.jpg" TargetMode="External" /><Relationship Id="rId76" Type="http://schemas.openxmlformats.org/officeDocument/2006/relationships/hyperlink" Target="http://pbs.twimg.com/profile_images/858732102862483456/rzI0kX-i_normal.jpg" TargetMode="External" /><Relationship Id="rId77" Type="http://schemas.openxmlformats.org/officeDocument/2006/relationships/hyperlink" Target="http://pbs.twimg.com/profile_images/1137426815759376384/DkfmSuOK_normal.jpg" TargetMode="External" /><Relationship Id="rId78" Type="http://schemas.openxmlformats.org/officeDocument/2006/relationships/hyperlink" Target="http://pbs.twimg.com/profile_images/748583335253970950/4b-MSc-n_normal.jpg" TargetMode="External" /><Relationship Id="rId79" Type="http://schemas.openxmlformats.org/officeDocument/2006/relationships/hyperlink" Target="http://pbs.twimg.com/profile_images/1025114534095273986/pnFxrGbv_normal.jpg" TargetMode="External" /><Relationship Id="rId80" Type="http://schemas.openxmlformats.org/officeDocument/2006/relationships/hyperlink" Target="http://pbs.twimg.com/profile_images/976301563869265920/WXyNjkFo_normal.jpg" TargetMode="External" /><Relationship Id="rId81" Type="http://schemas.openxmlformats.org/officeDocument/2006/relationships/hyperlink" Target="http://pbs.twimg.com/profile_images/1087888820811558918/dwfYBqPD_normal.jpg" TargetMode="External" /><Relationship Id="rId82" Type="http://schemas.openxmlformats.org/officeDocument/2006/relationships/hyperlink" Target="http://pbs.twimg.com/profile_images/512724353432051712/u9vs2gOS_normal.jpeg" TargetMode="External" /><Relationship Id="rId83" Type="http://schemas.openxmlformats.org/officeDocument/2006/relationships/hyperlink" Target="http://pbs.twimg.com/profile_images/769933008250044416/3iCc7nAn_normal.jpg" TargetMode="External" /><Relationship Id="rId84" Type="http://schemas.openxmlformats.org/officeDocument/2006/relationships/hyperlink" Target="http://pbs.twimg.com/profile_images/3464150917/7618ea0fe388b345e2450cee465a4ea1_normal.jpeg" TargetMode="External" /><Relationship Id="rId85" Type="http://schemas.openxmlformats.org/officeDocument/2006/relationships/hyperlink" Target="http://pbs.twimg.com/profile_images/728984748677341184/a42Pkbh3_normal.jpg" TargetMode="External" /><Relationship Id="rId86" Type="http://schemas.openxmlformats.org/officeDocument/2006/relationships/hyperlink" Target="http://pbs.twimg.com/profile_images/656872290492284928/6Vk-M4KK_normal.jpg" TargetMode="External" /><Relationship Id="rId87" Type="http://schemas.openxmlformats.org/officeDocument/2006/relationships/hyperlink" Target="http://pbs.twimg.com/profile_images/754859214544175104/7Xk06_Hr_normal.jpg" TargetMode="External" /><Relationship Id="rId88" Type="http://schemas.openxmlformats.org/officeDocument/2006/relationships/hyperlink" Target="http://pbs.twimg.com/profile_images/1205664680/erickson_twit_normal.jpg" TargetMode="External" /><Relationship Id="rId89" Type="http://schemas.openxmlformats.org/officeDocument/2006/relationships/hyperlink" Target="http://pbs.twimg.com/profile_images/1098244578472280064/gjkVMelR_normal.png" TargetMode="External" /><Relationship Id="rId90" Type="http://schemas.openxmlformats.org/officeDocument/2006/relationships/hyperlink" Target="http://pbs.twimg.com/profile_images/3207187088/5dadb1edbeef8d68935b11c6fa3d97ed_normal.jpeg" TargetMode="External" /><Relationship Id="rId91" Type="http://schemas.openxmlformats.org/officeDocument/2006/relationships/hyperlink" Target="http://pbs.twimg.com/profile_images/1076149439197261824/NUJ_iN7u_normal.jpg" TargetMode="External" /><Relationship Id="rId92" Type="http://schemas.openxmlformats.org/officeDocument/2006/relationships/hyperlink" Target="http://pbs.twimg.com/profile_images/378800000697318472/3ac4ee14df618921c5617e6fc0d6c092_normal.jpeg" TargetMode="External" /><Relationship Id="rId93" Type="http://schemas.openxmlformats.org/officeDocument/2006/relationships/hyperlink" Target="http://pbs.twimg.com/profile_images/805360572367781889/odKACjnJ_normal.jpg" TargetMode="External" /><Relationship Id="rId94" Type="http://schemas.openxmlformats.org/officeDocument/2006/relationships/hyperlink" Target="http://pbs.twimg.com/profile_images/763367816955387904/Eou86Hrg_normal.jpg" TargetMode="External" /><Relationship Id="rId95" Type="http://schemas.openxmlformats.org/officeDocument/2006/relationships/hyperlink" Target="http://pbs.twimg.com/profile_images/188072445/wendybyjack_normal.JPG" TargetMode="External" /><Relationship Id="rId96" Type="http://schemas.openxmlformats.org/officeDocument/2006/relationships/hyperlink" Target="https://twitter.com/rebekahktromble" TargetMode="External" /><Relationship Id="rId97" Type="http://schemas.openxmlformats.org/officeDocument/2006/relationships/hyperlink" Target="https://twitter.com/pervade_team" TargetMode="External" /><Relationship Id="rId98" Type="http://schemas.openxmlformats.org/officeDocument/2006/relationships/hyperlink" Target="https://twitter.com/michaelzimmer" TargetMode="External" /><Relationship Id="rId99" Type="http://schemas.openxmlformats.org/officeDocument/2006/relationships/hyperlink" Target="https://twitter.com/jhblackb" TargetMode="External" /><Relationship Id="rId100" Type="http://schemas.openxmlformats.org/officeDocument/2006/relationships/hyperlink" Target="https://twitter.com/dchatzakou" TargetMode="External" /><Relationship Id="rId101" Type="http://schemas.openxmlformats.org/officeDocument/2006/relationships/hyperlink" Target="https://twitter.com/emilianoucl" TargetMode="External" /><Relationship Id="rId102" Type="http://schemas.openxmlformats.org/officeDocument/2006/relationships/hyperlink" Target="https://twitter.com/idramalab" TargetMode="External" /><Relationship Id="rId103" Type="http://schemas.openxmlformats.org/officeDocument/2006/relationships/hyperlink" Target="https://twitter.com/gianluca_string" TargetMode="External" /><Relationship Id="rId104" Type="http://schemas.openxmlformats.org/officeDocument/2006/relationships/hyperlink" Target="https://twitter.com/diegocaro" TargetMode="External" /><Relationship Id="rId105" Type="http://schemas.openxmlformats.org/officeDocument/2006/relationships/hyperlink" Target="https://twitter.com/datascienceudd" TargetMode="External" /><Relationship Id="rId106" Type="http://schemas.openxmlformats.org/officeDocument/2006/relationships/hyperlink" Target="https://twitter.com/carnby" TargetMode="External" /><Relationship Id="rId107" Type="http://schemas.openxmlformats.org/officeDocument/2006/relationships/hyperlink" Target="https://twitter.com/gonzalobarria" TargetMode="External" /><Relationship Id="rId108" Type="http://schemas.openxmlformats.org/officeDocument/2006/relationships/hyperlink" Target="https://twitter.com/pauvasquezh" TargetMode="External" /><Relationship Id="rId109" Type="http://schemas.openxmlformats.org/officeDocument/2006/relationships/hyperlink" Target="https://twitter.com/aastroza" TargetMode="External" /><Relationship Id="rId110" Type="http://schemas.openxmlformats.org/officeDocument/2006/relationships/hyperlink" Target="https://twitter.com/franvarela" TargetMode="External" /><Relationship Id="rId111" Type="http://schemas.openxmlformats.org/officeDocument/2006/relationships/hyperlink" Target="https://twitter.com/elmanujano" TargetMode="External" /><Relationship Id="rId112" Type="http://schemas.openxmlformats.org/officeDocument/2006/relationships/hyperlink" Target="https://twitter.com/congosto" TargetMode="External" /><Relationship Id="rId113" Type="http://schemas.openxmlformats.org/officeDocument/2006/relationships/hyperlink" Target="https://twitter.com/theofficialacm" TargetMode="External" /><Relationship Id="rId114" Type="http://schemas.openxmlformats.org/officeDocument/2006/relationships/hyperlink" Target="https://twitter.com/jvitak" TargetMode="External" /><Relationship Id="rId115" Type="http://schemas.openxmlformats.org/officeDocument/2006/relationships/hyperlink" Target="https://twitter.com/olyerickson" TargetMode="External" /><Relationship Id="rId116" Type="http://schemas.openxmlformats.org/officeDocument/2006/relationships/hyperlink" Target="https://twitter.com/nytimes" TargetMode="External" /><Relationship Id="rId117" Type="http://schemas.openxmlformats.org/officeDocument/2006/relationships/hyperlink" Target="https://twitter.com/faizapatelbcj" TargetMode="External" /><Relationship Id="rId118" Type="http://schemas.openxmlformats.org/officeDocument/2006/relationships/hyperlink" Target="https://twitter.com/khourycollege" TargetMode="External" /><Relationship Id="rId119" Type="http://schemas.openxmlformats.org/officeDocument/2006/relationships/hyperlink" Target="https://twitter.com/miz_oka" TargetMode="External" /><Relationship Id="rId120" Type="http://schemas.openxmlformats.org/officeDocument/2006/relationships/hyperlink" Target="https://twitter.com/exdwarf" TargetMode="External" /><Relationship Id="rId121" Type="http://schemas.openxmlformats.org/officeDocument/2006/relationships/hyperlink" Target="https://twitter.com/floodserveu" TargetMode="External" /><Relationship Id="rId122" Type="http://schemas.openxmlformats.org/officeDocument/2006/relationships/hyperlink" Target="https://twitter.com/damewendydbe" TargetMode="External" /><Relationship Id="rId123" Type="http://schemas.openxmlformats.org/officeDocument/2006/relationships/comments" Target="../comments2.xml" /><Relationship Id="rId124" Type="http://schemas.openxmlformats.org/officeDocument/2006/relationships/vmlDrawing" Target="../drawings/vmlDrawing2.vml" /><Relationship Id="rId125" Type="http://schemas.openxmlformats.org/officeDocument/2006/relationships/table" Target="../tables/table2.xml" /><Relationship Id="rId126" Type="http://schemas.openxmlformats.org/officeDocument/2006/relationships/drawing" Target="../drawings/drawing1.xml" /><Relationship Id="rId127"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2.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3.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hyperlink" Target="https://www.khoury.northeastern.edu/general/acm-websci-19-at-northeastern-brings-together-experts-from-many-disciplines/" TargetMode="External" /><Relationship Id="rId2" Type="http://schemas.openxmlformats.org/officeDocument/2006/relationships/hyperlink" Target="https://twitter.com/CChelmis/status/1146043799187206144" TargetMode="External" /><Relationship Id="rId3" Type="http://schemas.openxmlformats.org/officeDocument/2006/relationships/hyperlink" Target="https://websci19.webscience.org/" TargetMode="External" /><Relationship Id="rId4" Type="http://schemas.openxmlformats.org/officeDocument/2006/relationships/hyperlink" Target="https://websci19.webscience.org/speakers.html" TargetMode="External" /><Relationship Id="rId5" Type="http://schemas.openxmlformats.org/officeDocument/2006/relationships/hyperlink" Target="https://www.nytimes.com/2019/06/30/opinion/immigrants-social-media.html" TargetMode="External" /><Relationship Id="rId6" Type="http://schemas.openxmlformats.org/officeDocument/2006/relationships/hyperlink" Target="https://pervade.umd.edu/event/websci-19/" TargetMode="External" /><Relationship Id="rId7" Type="http://schemas.openxmlformats.org/officeDocument/2006/relationships/hyperlink" Target="https://pervade.umd.edu/event/websci-19/" TargetMode="External" /><Relationship Id="rId8" Type="http://schemas.openxmlformats.org/officeDocument/2006/relationships/hyperlink" Target="https://www.nytimes.com/2019/06/30/opinion/immigrants-social-media.html" TargetMode="External" /><Relationship Id="rId9" Type="http://schemas.openxmlformats.org/officeDocument/2006/relationships/hyperlink" Target="https://www.khoury.northeastern.edu/general/acm-websci-19-at-northeastern-brings-together-experts-from-many-disciplines/" TargetMode="External" /><Relationship Id="rId10" Type="http://schemas.openxmlformats.org/officeDocument/2006/relationships/hyperlink" Target="https://twitter.com/CChelmis/status/1146043799187206144" TargetMode="External" /><Relationship Id="rId11" Type="http://schemas.openxmlformats.org/officeDocument/2006/relationships/hyperlink" Target="https://websci19.webscience.org/" TargetMode="External" /><Relationship Id="rId12" Type="http://schemas.openxmlformats.org/officeDocument/2006/relationships/hyperlink" Target="https://websci19.webscience.org/speakers.html" TargetMode="External" /><Relationship Id="rId13" Type="http://schemas.openxmlformats.org/officeDocument/2006/relationships/table" Target="../tables/table12.xml" /><Relationship Id="rId14" Type="http://schemas.openxmlformats.org/officeDocument/2006/relationships/table" Target="../tables/table13.xml" /><Relationship Id="rId15" Type="http://schemas.openxmlformats.org/officeDocument/2006/relationships/table" Target="../tables/table14.xml" /><Relationship Id="rId16" Type="http://schemas.openxmlformats.org/officeDocument/2006/relationships/table" Target="../tables/table15.xml" /><Relationship Id="rId17" Type="http://schemas.openxmlformats.org/officeDocument/2006/relationships/table" Target="../tables/table16.xml" /><Relationship Id="rId18" Type="http://schemas.openxmlformats.org/officeDocument/2006/relationships/table" Target="../tables/table17.xml" /><Relationship Id="rId19" Type="http://schemas.openxmlformats.org/officeDocument/2006/relationships/table" Target="../tables/table18.xml" /><Relationship Id="rId20"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4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57421875" style="0" bestFit="1" customWidth="1"/>
    <col min="16" max="16" width="14.28125" style="0" bestFit="1" customWidth="1"/>
    <col min="17" max="17" width="8.7109375" style="0" bestFit="1" customWidth="1"/>
    <col min="18" max="18" width="9.421875" style="0" bestFit="1" customWidth="1"/>
    <col min="19" max="19" width="13.00390625" style="0" bestFit="1" customWidth="1"/>
    <col min="20" max="20" width="13.140625" style="0" bestFit="1" customWidth="1"/>
    <col min="21" max="21" width="10.8515625" style="0" bestFit="1" customWidth="1"/>
    <col min="22" max="22" width="12.28125" style="0" bestFit="1" customWidth="1"/>
    <col min="23" max="23" width="13.28125" style="0" bestFit="1" customWidth="1"/>
    <col min="24" max="24" width="14.28125" style="0" bestFit="1" customWidth="1"/>
    <col min="25" max="25" width="10.421875" style="0" bestFit="1" customWidth="1"/>
    <col min="26" max="26" width="12.00390625" style="0" bestFit="1" customWidth="1"/>
    <col min="27" max="27" width="11.421875" style="0" bestFit="1" customWidth="1"/>
    <col min="28" max="28" width="13.421875" style="0" bestFit="1" customWidth="1"/>
    <col min="29" max="29" width="11.57421875" style="0" bestFit="1" customWidth="1"/>
    <col min="30" max="30" width="10.421875" style="0" bestFit="1" customWidth="1"/>
    <col min="31" max="31" width="13.421875" style="0" bestFit="1" customWidth="1"/>
    <col min="32" max="32" width="10.57421875" style="0" bestFit="1" customWidth="1"/>
    <col min="33" max="33" width="11.421875" style="0" bestFit="1" customWidth="1"/>
    <col min="34" max="34" width="11.28125" style="0" bestFit="1" customWidth="1"/>
    <col min="35" max="35" width="10.8515625" style="0" bestFit="1" customWidth="1"/>
    <col min="36" max="36" width="11.8515625" style="0" bestFit="1" customWidth="1"/>
    <col min="37" max="38" width="10.7109375" style="0" bestFit="1" customWidth="1"/>
    <col min="40" max="40" width="12.00390625" style="0" bestFit="1" customWidth="1"/>
    <col min="41" max="41" width="11.8515625" style="0" bestFit="1" customWidth="1"/>
    <col min="42" max="42" width="13.421875" style="0" bestFit="1" customWidth="1"/>
    <col min="43" max="43" width="20.7109375" style="0" bestFit="1" customWidth="1"/>
    <col min="44" max="44" width="19.57421875" style="0" bestFit="1" customWidth="1"/>
    <col min="45" max="45" width="16.8515625" style="0" bestFit="1" customWidth="1"/>
    <col min="46" max="46" width="10.140625" style="0" bestFit="1" customWidth="1"/>
    <col min="47" max="47" width="15.421875" style="0" bestFit="1" customWidth="1"/>
    <col min="48" max="48" width="11.57421875" style="0" bestFit="1" customWidth="1"/>
    <col min="49" max="49" width="10.140625" style="0" bestFit="1" customWidth="1"/>
    <col min="50" max="50" width="8.421875" style="0" bestFit="1" customWidth="1"/>
    <col min="51" max="52" width="7.8515625" style="0" bestFit="1" customWidth="1"/>
    <col min="53" max="53" width="14.421875" style="0" customWidth="1"/>
    <col min="54" max="55" width="10.57421875" style="0" bestFit="1" customWidth="1"/>
    <col min="56" max="56" width="21.57421875" style="0" bestFit="1" customWidth="1"/>
    <col min="57" max="57" width="26.8515625" style="0" bestFit="1" customWidth="1"/>
    <col min="58" max="58" width="22.421875" style="0" bestFit="1" customWidth="1"/>
    <col min="59" max="59" width="27.8515625" style="0" bestFit="1" customWidth="1"/>
    <col min="60" max="60" width="27.140625" style="0" bestFit="1" customWidth="1"/>
    <col min="61" max="61" width="32.57421875" style="0" bestFit="1" customWidth="1"/>
    <col min="62" max="62" width="18.00390625" style="0" bestFit="1" customWidth="1"/>
    <col min="63" max="63" width="22.140625" style="0" bestFit="1" customWidth="1"/>
    <col min="64" max="64" width="15.00390625" style="0" bestFit="1" customWidth="1"/>
  </cols>
  <sheetData>
    <row r="1" spans="3:14" ht="15">
      <c r="C1" s="18" t="s">
        <v>39</v>
      </c>
      <c r="D1" s="19"/>
      <c r="E1" s="19"/>
      <c r="F1" s="19"/>
      <c r="G1" s="18"/>
      <c r="H1" s="16" t="s">
        <v>43</v>
      </c>
      <c r="I1" s="64"/>
      <c r="J1" s="64"/>
      <c r="K1" s="35" t="s">
        <v>42</v>
      </c>
      <c r="L1" s="20" t="s">
        <v>40</v>
      </c>
      <c r="M1" s="20"/>
      <c r="N1" s="17"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614</v>
      </c>
      <c r="BB2" s="13" t="s">
        <v>628</v>
      </c>
      <c r="BC2" s="13" t="s">
        <v>629</v>
      </c>
      <c r="BD2" s="67" t="s">
        <v>888</v>
      </c>
      <c r="BE2" s="67" t="s">
        <v>889</v>
      </c>
      <c r="BF2" s="67" t="s">
        <v>890</v>
      </c>
      <c r="BG2" s="67" t="s">
        <v>891</v>
      </c>
      <c r="BH2" s="67" t="s">
        <v>892</v>
      </c>
      <c r="BI2" s="67" t="s">
        <v>893</v>
      </c>
      <c r="BJ2" s="67" t="s">
        <v>894</v>
      </c>
      <c r="BK2" s="67" t="s">
        <v>895</v>
      </c>
      <c r="BL2" s="67" t="s">
        <v>896</v>
      </c>
    </row>
    <row r="3" spans="1:64" ht="15" customHeight="1">
      <c r="A3" s="84" t="s">
        <v>212</v>
      </c>
      <c r="B3" s="84" t="s">
        <v>232</v>
      </c>
      <c r="C3" s="53" t="s">
        <v>901</v>
      </c>
      <c r="D3" s="54">
        <v>3</v>
      </c>
      <c r="E3" s="65" t="s">
        <v>132</v>
      </c>
      <c r="F3" s="55">
        <v>32</v>
      </c>
      <c r="G3" s="53"/>
      <c r="H3" s="57"/>
      <c r="I3" s="56"/>
      <c r="J3" s="56"/>
      <c r="K3" s="36" t="s">
        <v>65</v>
      </c>
      <c r="L3" s="62">
        <v>3</v>
      </c>
      <c r="M3" s="62"/>
      <c r="N3" s="63"/>
      <c r="O3" s="85" t="s">
        <v>239</v>
      </c>
      <c r="P3" s="87">
        <v>43640.64986111111</v>
      </c>
      <c r="Q3" s="85" t="s">
        <v>241</v>
      </c>
      <c r="R3" s="85"/>
      <c r="S3" s="85"/>
      <c r="T3" s="85" t="s">
        <v>269</v>
      </c>
      <c r="U3" s="85"/>
      <c r="V3" s="90" t="s">
        <v>280</v>
      </c>
      <c r="W3" s="87">
        <v>43640.64986111111</v>
      </c>
      <c r="X3" s="90" t="s">
        <v>296</v>
      </c>
      <c r="Y3" s="85"/>
      <c r="Z3" s="85"/>
      <c r="AA3" s="91" t="s">
        <v>322</v>
      </c>
      <c r="AB3" s="85"/>
      <c r="AC3" s="85" t="b">
        <v>0</v>
      </c>
      <c r="AD3" s="85">
        <v>0</v>
      </c>
      <c r="AE3" s="91" t="s">
        <v>349</v>
      </c>
      <c r="AF3" s="85" t="b">
        <v>0</v>
      </c>
      <c r="AG3" s="85" t="s">
        <v>352</v>
      </c>
      <c r="AH3" s="85"/>
      <c r="AI3" s="91" t="s">
        <v>349</v>
      </c>
      <c r="AJ3" s="85" t="b">
        <v>0</v>
      </c>
      <c r="AK3" s="85">
        <v>1</v>
      </c>
      <c r="AL3" s="91" t="s">
        <v>335</v>
      </c>
      <c r="AM3" s="85" t="s">
        <v>356</v>
      </c>
      <c r="AN3" s="85" t="b">
        <v>0</v>
      </c>
      <c r="AO3" s="91" t="s">
        <v>335</v>
      </c>
      <c r="AP3" s="85" t="s">
        <v>176</v>
      </c>
      <c r="AQ3" s="85">
        <v>0</v>
      </c>
      <c r="AR3" s="85">
        <v>0</v>
      </c>
      <c r="AS3" s="85"/>
      <c r="AT3" s="85"/>
      <c r="AU3" s="85"/>
      <c r="AV3" s="85"/>
      <c r="AW3" s="85"/>
      <c r="AX3" s="85"/>
      <c r="AY3" s="85"/>
      <c r="AZ3" s="85"/>
      <c r="BA3">
        <v>1</v>
      </c>
      <c r="BB3" s="85" t="str">
        <f>REPLACE(INDEX(GroupVertices[Group],MATCH(Edges[[#This Row],[Vertex 1]],GroupVertices[Vertex],0)),1,1,"")</f>
        <v>2</v>
      </c>
      <c r="BC3" s="85" t="str">
        <f>REPLACE(INDEX(GroupVertices[Group],MATCH(Edges[[#This Row],[Vertex 2]],GroupVertices[Vertex],0)),1,1,"")</f>
        <v>2</v>
      </c>
      <c r="BD3" s="51"/>
      <c r="BE3" s="52"/>
      <c r="BF3" s="51"/>
      <c r="BG3" s="52"/>
      <c r="BH3" s="51"/>
      <c r="BI3" s="52"/>
      <c r="BJ3" s="51"/>
      <c r="BK3" s="52"/>
      <c r="BL3" s="51"/>
    </row>
    <row r="4" spans="1:64" ht="15" customHeight="1">
      <c r="A4" s="84" t="s">
        <v>212</v>
      </c>
      <c r="B4" s="84" t="s">
        <v>225</v>
      </c>
      <c r="C4" s="53" t="s">
        <v>901</v>
      </c>
      <c r="D4" s="54">
        <v>3</v>
      </c>
      <c r="E4" s="65" t="s">
        <v>132</v>
      </c>
      <c r="F4" s="55">
        <v>32</v>
      </c>
      <c r="G4" s="53"/>
      <c r="H4" s="57"/>
      <c r="I4" s="56"/>
      <c r="J4" s="56"/>
      <c r="K4" s="36" t="s">
        <v>65</v>
      </c>
      <c r="L4" s="83">
        <v>4</v>
      </c>
      <c r="M4" s="83"/>
      <c r="N4" s="63"/>
      <c r="O4" s="86" t="s">
        <v>239</v>
      </c>
      <c r="P4" s="88">
        <v>43640.64986111111</v>
      </c>
      <c r="Q4" s="86" t="s">
        <v>241</v>
      </c>
      <c r="R4" s="86"/>
      <c r="S4" s="86"/>
      <c r="T4" s="86" t="s">
        <v>269</v>
      </c>
      <c r="U4" s="86"/>
      <c r="V4" s="89" t="s">
        <v>280</v>
      </c>
      <c r="W4" s="88">
        <v>43640.64986111111</v>
      </c>
      <c r="X4" s="89" t="s">
        <v>296</v>
      </c>
      <c r="Y4" s="86"/>
      <c r="Z4" s="86"/>
      <c r="AA4" s="92" t="s">
        <v>322</v>
      </c>
      <c r="AB4" s="86"/>
      <c r="AC4" s="86" t="b">
        <v>0</v>
      </c>
      <c r="AD4" s="86">
        <v>0</v>
      </c>
      <c r="AE4" s="92" t="s">
        <v>349</v>
      </c>
      <c r="AF4" s="86" t="b">
        <v>0</v>
      </c>
      <c r="AG4" s="86" t="s">
        <v>352</v>
      </c>
      <c r="AH4" s="86"/>
      <c r="AI4" s="92" t="s">
        <v>349</v>
      </c>
      <c r="AJ4" s="86" t="b">
        <v>0</v>
      </c>
      <c r="AK4" s="86">
        <v>1</v>
      </c>
      <c r="AL4" s="92" t="s">
        <v>335</v>
      </c>
      <c r="AM4" s="86" t="s">
        <v>356</v>
      </c>
      <c r="AN4" s="86" t="b">
        <v>0</v>
      </c>
      <c r="AO4" s="92" t="s">
        <v>335</v>
      </c>
      <c r="AP4" s="86" t="s">
        <v>176</v>
      </c>
      <c r="AQ4" s="86">
        <v>0</v>
      </c>
      <c r="AR4" s="86">
        <v>0</v>
      </c>
      <c r="AS4" s="86"/>
      <c r="AT4" s="86"/>
      <c r="AU4" s="86"/>
      <c r="AV4" s="86"/>
      <c r="AW4" s="86"/>
      <c r="AX4" s="86"/>
      <c r="AY4" s="86"/>
      <c r="AZ4" s="86"/>
      <c r="BA4">
        <v>1</v>
      </c>
      <c r="BB4" s="85" t="str">
        <f>REPLACE(INDEX(GroupVertices[Group],MATCH(Edges[[#This Row],[Vertex 1]],GroupVertices[Vertex],0)),1,1,"")</f>
        <v>2</v>
      </c>
      <c r="BC4" s="85" t="str">
        <f>REPLACE(INDEX(GroupVertices[Group],MATCH(Edges[[#This Row],[Vertex 2]],GroupVertices[Vertex],0)),1,1,"")</f>
        <v>2</v>
      </c>
      <c r="BD4" s="51">
        <v>0</v>
      </c>
      <c r="BE4" s="52">
        <v>0</v>
      </c>
      <c r="BF4" s="51">
        <v>0</v>
      </c>
      <c r="BG4" s="52">
        <v>0</v>
      </c>
      <c r="BH4" s="51">
        <v>0</v>
      </c>
      <c r="BI4" s="52">
        <v>0</v>
      </c>
      <c r="BJ4" s="51">
        <v>24</v>
      </c>
      <c r="BK4" s="52">
        <v>100</v>
      </c>
      <c r="BL4" s="51">
        <v>24</v>
      </c>
    </row>
    <row r="5" spans="1:64" ht="15">
      <c r="A5" s="84" t="s">
        <v>213</v>
      </c>
      <c r="B5" s="84" t="s">
        <v>233</v>
      </c>
      <c r="C5" s="53" t="s">
        <v>901</v>
      </c>
      <c r="D5" s="54">
        <v>3</v>
      </c>
      <c r="E5" s="65" t="s">
        <v>132</v>
      </c>
      <c r="F5" s="55">
        <v>32</v>
      </c>
      <c r="G5" s="53"/>
      <c r="H5" s="57"/>
      <c r="I5" s="56"/>
      <c r="J5" s="56"/>
      <c r="K5" s="36" t="s">
        <v>65</v>
      </c>
      <c r="L5" s="83">
        <v>5</v>
      </c>
      <c r="M5" s="83"/>
      <c r="N5" s="63"/>
      <c r="O5" s="86" t="s">
        <v>239</v>
      </c>
      <c r="P5" s="88">
        <v>43640.9184837963</v>
      </c>
      <c r="Q5" s="86" t="s">
        <v>242</v>
      </c>
      <c r="R5" s="86"/>
      <c r="S5" s="86"/>
      <c r="T5" s="86"/>
      <c r="U5" s="86"/>
      <c r="V5" s="89" t="s">
        <v>281</v>
      </c>
      <c r="W5" s="88">
        <v>43640.9184837963</v>
      </c>
      <c r="X5" s="89" t="s">
        <v>297</v>
      </c>
      <c r="Y5" s="86"/>
      <c r="Z5" s="86"/>
      <c r="AA5" s="92" t="s">
        <v>323</v>
      </c>
      <c r="AB5" s="86"/>
      <c r="AC5" s="86" t="b">
        <v>0</v>
      </c>
      <c r="AD5" s="86">
        <v>0</v>
      </c>
      <c r="AE5" s="92" t="s">
        <v>349</v>
      </c>
      <c r="AF5" s="86" t="b">
        <v>0</v>
      </c>
      <c r="AG5" s="86" t="s">
        <v>352</v>
      </c>
      <c r="AH5" s="86"/>
      <c r="AI5" s="92" t="s">
        <v>349</v>
      </c>
      <c r="AJ5" s="86" t="b">
        <v>0</v>
      </c>
      <c r="AK5" s="86">
        <v>3</v>
      </c>
      <c r="AL5" s="92" t="s">
        <v>325</v>
      </c>
      <c r="AM5" s="86" t="s">
        <v>356</v>
      </c>
      <c r="AN5" s="86" t="b">
        <v>0</v>
      </c>
      <c r="AO5" s="92" t="s">
        <v>325</v>
      </c>
      <c r="AP5" s="86" t="s">
        <v>176</v>
      </c>
      <c r="AQ5" s="86">
        <v>0</v>
      </c>
      <c r="AR5" s="86">
        <v>0</v>
      </c>
      <c r="AS5" s="86"/>
      <c r="AT5" s="86"/>
      <c r="AU5" s="86"/>
      <c r="AV5" s="86"/>
      <c r="AW5" s="86"/>
      <c r="AX5" s="86"/>
      <c r="AY5" s="86"/>
      <c r="AZ5" s="86"/>
      <c r="BA5">
        <v>1</v>
      </c>
      <c r="BB5" s="85" t="str">
        <f>REPLACE(INDEX(GroupVertices[Group],MATCH(Edges[[#This Row],[Vertex 1]],GroupVertices[Vertex],0)),1,1,"")</f>
        <v>3</v>
      </c>
      <c r="BC5" s="85" t="str">
        <f>REPLACE(INDEX(GroupVertices[Group],MATCH(Edges[[#This Row],[Vertex 2]],GroupVertices[Vertex],0)),1,1,"")</f>
        <v>3</v>
      </c>
      <c r="BD5" s="51"/>
      <c r="BE5" s="52"/>
      <c r="BF5" s="51"/>
      <c r="BG5" s="52"/>
      <c r="BH5" s="51"/>
      <c r="BI5" s="52"/>
      <c r="BJ5" s="51"/>
      <c r="BK5" s="52"/>
      <c r="BL5" s="51"/>
    </row>
    <row r="6" spans="1:64" ht="15">
      <c r="A6" s="84" t="s">
        <v>213</v>
      </c>
      <c r="B6" s="84" t="s">
        <v>215</v>
      </c>
      <c r="C6" s="53" t="s">
        <v>901</v>
      </c>
      <c r="D6" s="54">
        <v>3</v>
      </c>
      <c r="E6" s="65" t="s">
        <v>132</v>
      </c>
      <c r="F6" s="55">
        <v>32</v>
      </c>
      <c r="G6" s="53"/>
      <c r="H6" s="57"/>
      <c r="I6" s="56"/>
      <c r="J6" s="56"/>
      <c r="K6" s="36" t="s">
        <v>65</v>
      </c>
      <c r="L6" s="83">
        <v>6</v>
      </c>
      <c r="M6" s="83"/>
      <c r="N6" s="63"/>
      <c r="O6" s="86" t="s">
        <v>239</v>
      </c>
      <c r="P6" s="88">
        <v>43640.9184837963</v>
      </c>
      <c r="Q6" s="86" t="s">
        <v>242</v>
      </c>
      <c r="R6" s="86"/>
      <c r="S6" s="86"/>
      <c r="T6" s="86"/>
      <c r="U6" s="86"/>
      <c r="V6" s="89" t="s">
        <v>281</v>
      </c>
      <c r="W6" s="88">
        <v>43640.9184837963</v>
      </c>
      <c r="X6" s="89" t="s">
        <v>297</v>
      </c>
      <c r="Y6" s="86"/>
      <c r="Z6" s="86"/>
      <c r="AA6" s="92" t="s">
        <v>323</v>
      </c>
      <c r="AB6" s="86"/>
      <c r="AC6" s="86" t="b">
        <v>0</v>
      </c>
      <c r="AD6" s="86">
        <v>0</v>
      </c>
      <c r="AE6" s="92" t="s">
        <v>349</v>
      </c>
      <c r="AF6" s="86" t="b">
        <v>0</v>
      </c>
      <c r="AG6" s="86" t="s">
        <v>352</v>
      </c>
      <c r="AH6" s="86"/>
      <c r="AI6" s="92" t="s">
        <v>349</v>
      </c>
      <c r="AJ6" s="86" t="b">
        <v>0</v>
      </c>
      <c r="AK6" s="86">
        <v>3</v>
      </c>
      <c r="AL6" s="92" t="s">
        <v>325</v>
      </c>
      <c r="AM6" s="86" t="s">
        <v>356</v>
      </c>
      <c r="AN6" s="86" t="b">
        <v>0</v>
      </c>
      <c r="AO6" s="92" t="s">
        <v>325</v>
      </c>
      <c r="AP6" s="86" t="s">
        <v>176</v>
      </c>
      <c r="AQ6" s="86">
        <v>0</v>
      </c>
      <c r="AR6" s="86">
        <v>0</v>
      </c>
      <c r="AS6" s="86"/>
      <c r="AT6" s="86"/>
      <c r="AU6" s="86"/>
      <c r="AV6" s="86"/>
      <c r="AW6" s="86"/>
      <c r="AX6" s="86"/>
      <c r="AY6" s="86"/>
      <c r="AZ6" s="86"/>
      <c r="BA6">
        <v>1</v>
      </c>
      <c r="BB6" s="85" t="str">
        <f>REPLACE(INDEX(GroupVertices[Group],MATCH(Edges[[#This Row],[Vertex 1]],GroupVertices[Vertex],0)),1,1,"")</f>
        <v>3</v>
      </c>
      <c r="BC6" s="85" t="str">
        <f>REPLACE(INDEX(GroupVertices[Group],MATCH(Edges[[#This Row],[Vertex 2]],GroupVertices[Vertex],0)),1,1,"")</f>
        <v>3</v>
      </c>
      <c r="BD6" s="51">
        <v>0</v>
      </c>
      <c r="BE6" s="52">
        <v>0</v>
      </c>
      <c r="BF6" s="51">
        <v>0</v>
      </c>
      <c r="BG6" s="52">
        <v>0</v>
      </c>
      <c r="BH6" s="51">
        <v>0</v>
      </c>
      <c r="BI6" s="52">
        <v>0</v>
      </c>
      <c r="BJ6" s="51">
        <v>19</v>
      </c>
      <c r="BK6" s="52">
        <v>100</v>
      </c>
      <c r="BL6" s="51">
        <v>19</v>
      </c>
    </row>
    <row r="7" spans="1:64" ht="15">
      <c r="A7" s="84" t="s">
        <v>214</v>
      </c>
      <c r="B7" s="84" t="s">
        <v>233</v>
      </c>
      <c r="C7" s="53" t="s">
        <v>901</v>
      </c>
      <c r="D7" s="54">
        <v>3</v>
      </c>
      <c r="E7" s="65" t="s">
        <v>132</v>
      </c>
      <c r="F7" s="55">
        <v>32</v>
      </c>
      <c r="G7" s="53"/>
      <c r="H7" s="57"/>
      <c r="I7" s="56"/>
      <c r="J7" s="56"/>
      <c r="K7" s="36" t="s">
        <v>65</v>
      </c>
      <c r="L7" s="83">
        <v>7</v>
      </c>
      <c r="M7" s="83"/>
      <c r="N7" s="63"/>
      <c r="O7" s="86" t="s">
        <v>239</v>
      </c>
      <c r="P7" s="88">
        <v>43640.91861111111</v>
      </c>
      <c r="Q7" s="86" t="s">
        <v>242</v>
      </c>
      <c r="R7" s="86"/>
      <c r="S7" s="86"/>
      <c r="T7" s="86"/>
      <c r="U7" s="86"/>
      <c r="V7" s="89" t="s">
        <v>282</v>
      </c>
      <c r="W7" s="88">
        <v>43640.91861111111</v>
      </c>
      <c r="X7" s="89" t="s">
        <v>298</v>
      </c>
      <c r="Y7" s="86"/>
      <c r="Z7" s="86"/>
      <c r="AA7" s="92" t="s">
        <v>324</v>
      </c>
      <c r="AB7" s="86"/>
      <c r="AC7" s="86" t="b">
        <v>0</v>
      </c>
      <c r="AD7" s="86">
        <v>0</v>
      </c>
      <c r="AE7" s="92" t="s">
        <v>349</v>
      </c>
      <c r="AF7" s="86" t="b">
        <v>0</v>
      </c>
      <c r="AG7" s="86" t="s">
        <v>352</v>
      </c>
      <c r="AH7" s="86"/>
      <c r="AI7" s="92" t="s">
        <v>349</v>
      </c>
      <c r="AJ7" s="86" t="b">
        <v>0</v>
      </c>
      <c r="AK7" s="86">
        <v>3</v>
      </c>
      <c r="AL7" s="92" t="s">
        <v>325</v>
      </c>
      <c r="AM7" s="86" t="s">
        <v>356</v>
      </c>
      <c r="AN7" s="86" t="b">
        <v>0</v>
      </c>
      <c r="AO7" s="92" t="s">
        <v>325</v>
      </c>
      <c r="AP7" s="86" t="s">
        <v>176</v>
      </c>
      <c r="AQ7" s="86">
        <v>0</v>
      </c>
      <c r="AR7" s="86">
        <v>0</v>
      </c>
      <c r="AS7" s="86"/>
      <c r="AT7" s="86"/>
      <c r="AU7" s="86"/>
      <c r="AV7" s="86"/>
      <c r="AW7" s="86"/>
      <c r="AX7" s="86"/>
      <c r="AY7" s="86"/>
      <c r="AZ7" s="86"/>
      <c r="BA7">
        <v>1</v>
      </c>
      <c r="BB7" s="85" t="str">
        <f>REPLACE(INDEX(GroupVertices[Group],MATCH(Edges[[#This Row],[Vertex 1]],GroupVertices[Vertex],0)),1,1,"")</f>
        <v>3</v>
      </c>
      <c r="BC7" s="85" t="str">
        <f>REPLACE(INDEX(GroupVertices[Group],MATCH(Edges[[#This Row],[Vertex 2]],GroupVertices[Vertex],0)),1,1,"")</f>
        <v>3</v>
      </c>
      <c r="BD7" s="51"/>
      <c r="BE7" s="52"/>
      <c r="BF7" s="51"/>
      <c r="BG7" s="52"/>
      <c r="BH7" s="51"/>
      <c r="BI7" s="52"/>
      <c r="BJ7" s="51"/>
      <c r="BK7" s="52"/>
      <c r="BL7" s="51"/>
    </row>
    <row r="8" spans="1:64" ht="15">
      <c r="A8" s="84" t="s">
        <v>214</v>
      </c>
      <c r="B8" s="84" t="s">
        <v>215</v>
      </c>
      <c r="C8" s="53" t="s">
        <v>901</v>
      </c>
      <c r="D8" s="54">
        <v>3</v>
      </c>
      <c r="E8" s="65" t="s">
        <v>132</v>
      </c>
      <c r="F8" s="55">
        <v>32</v>
      </c>
      <c r="G8" s="53"/>
      <c r="H8" s="57"/>
      <c r="I8" s="56"/>
      <c r="J8" s="56"/>
      <c r="K8" s="36" t="s">
        <v>65</v>
      </c>
      <c r="L8" s="83">
        <v>8</v>
      </c>
      <c r="M8" s="83"/>
      <c r="N8" s="63"/>
      <c r="O8" s="86" t="s">
        <v>239</v>
      </c>
      <c r="P8" s="88">
        <v>43640.91861111111</v>
      </c>
      <c r="Q8" s="86" t="s">
        <v>242</v>
      </c>
      <c r="R8" s="86"/>
      <c r="S8" s="86"/>
      <c r="T8" s="86"/>
      <c r="U8" s="86"/>
      <c r="V8" s="89" t="s">
        <v>282</v>
      </c>
      <c r="W8" s="88">
        <v>43640.91861111111</v>
      </c>
      <c r="X8" s="89" t="s">
        <v>298</v>
      </c>
      <c r="Y8" s="86"/>
      <c r="Z8" s="86"/>
      <c r="AA8" s="92" t="s">
        <v>324</v>
      </c>
      <c r="AB8" s="86"/>
      <c r="AC8" s="86" t="b">
        <v>0</v>
      </c>
      <c r="AD8" s="86">
        <v>0</v>
      </c>
      <c r="AE8" s="92" t="s">
        <v>349</v>
      </c>
      <c r="AF8" s="86" t="b">
        <v>0</v>
      </c>
      <c r="AG8" s="86" t="s">
        <v>352</v>
      </c>
      <c r="AH8" s="86"/>
      <c r="AI8" s="92" t="s">
        <v>349</v>
      </c>
      <c r="AJ8" s="86" t="b">
        <v>0</v>
      </c>
      <c r="AK8" s="86">
        <v>3</v>
      </c>
      <c r="AL8" s="92" t="s">
        <v>325</v>
      </c>
      <c r="AM8" s="86" t="s">
        <v>356</v>
      </c>
      <c r="AN8" s="86" t="b">
        <v>0</v>
      </c>
      <c r="AO8" s="92" t="s">
        <v>325</v>
      </c>
      <c r="AP8" s="86" t="s">
        <v>176</v>
      </c>
      <c r="AQ8" s="86">
        <v>0</v>
      </c>
      <c r="AR8" s="86">
        <v>0</v>
      </c>
      <c r="AS8" s="86"/>
      <c r="AT8" s="86"/>
      <c r="AU8" s="86"/>
      <c r="AV8" s="86"/>
      <c r="AW8" s="86"/>
      <c r="AX8" s="86"/>
      <c r="AY8" s="86"/>
      <c r="AZ8" s="86"/>
      <c r="BA8">
        <v>1</v>
      </c>
      <c r="BB8" s="85" t="str">
        <f>REPLACE(INDEX(GroupVertices[Group],MATCH(Edges[[#This Row],[Vertex 1]],GroupVertices[Vertex],0)),1,1,"")</f>
        <v>3</v>
      </c>
      <c r="BC8" s="85" t="str">
        <f>REPLACE(INDEX(GroupVertices[Group],MATCH(Edges[[#This Row],[Vertex 2]],GroupVertices[Vertex],0)),1,1,"")</f>
        <v>3</v>
      </c>
      <c r="BD8" s="51">
        <v>0</v>
      </c>
      <c r="BE8" s="52">
        <v>0</v>
      </c>
      <c r="BF8" s="51">
        <v>0</v>
      </c>
      <c r="BG8" s="52">
        <v>0</v>
      </c>
      <c r="BH8" s="51">
        <v>0</v>
      </c>
      <c r="BI8" s="52">
        <v>0</v>
      </c>
      <c r="BJ8" s="51">
        <v>19</v>
      </c>
      <c r="BK8" s="52">
        <v>100</v>
      </c>
      <c r="BL8" s="51">
        <v>19</v>
      </c>
    </row>
    <row r="9" spans="1:64" ht="15">
      <c r="A9" s="84" t="s">
        <v>215</v>
      </c>
      <c r="B9" s="84" t="s">
        <v>233</v>
      </c>
      <c r="C9" s="53" t="s">
        <v>901</v>
      </c>
      <c r="D9" s="54">
        <v>3</v>
      </c>
      <c r="E9" s="65" t="s">
        <v>132</v>
      </c>
      <c r="F9" s="55">
        <v>32</v>
      </c>
      <c r="G9" s="53"/>
      <c r="H9" s="57"/>
      <c r="I9" s="56"/>
      <c r="J9" s="56"/>
      <c r="K9" s="36" t="s">
        <v>65</v>
      </c>
      <c r="L9" s="83">
        <v>9</v>
      </c>
      <c r="M9" s="83"/>
      <c r="N9" s="63"/>
      <c r="O9" s="86" t="s">
        <v>239</v>
      </c>
      <c r="P9" s="88">
        <v>43640.916979166665</v>
      </c>
      <c r="Q9" s="86" t="s">
        <v>243</v>
      </c>
      <c r="R9" s="86"/>
      <c r="S9" s="86"/>
      <c r="T9" s="86"/>
      <c r="U9" s="89" t="s">
        <v>273</v>
      </c>
      <c r="V9" s="89" t="s">
        <v>273</v>
      </c>
      <c r="W9" s="88">
        <v>43640.916979166665</v>
      </c>
      <c r="X9" s="89" t="s">
        <v>299</v>
      </c>
      <c r="Y9" s="86"/>
      <c r="Z9" s="86"/>
      <c r="AA9" s="92" t="s">
        <v>325</v>
      </c>
      <c r="AB9" s="86"/>
      <c r="AC9" s="86" t="b">
        <v>0</v>
      </c>
      <c r="AD9" s="86">
        <v>24</v>
      </c>
      <c r="AE9" s="92" t="s">
        <v>349</v>
      </c>
      <c r="AF9" s="86" t="b">
        <v>0</v>
      </c>
      <c r="AG9" s="86" t="s">
        <v>352</v>
      </c>
      <c r="AH9" s="86"/>
      <c r="AI9" s="92" t="s">
        <v>349</v>
      </c>
      <c r="AJ9" s="86" t="b">
        <v>0</v>
      </c>
      <c r="AK9" s="86">
        <v>3</v>
      </c>
      <c r="AL9" s="92" t="s">
        <v>349</v>
      </c>
      <c r="AM9" s="86" t="s">
        <v>357</v>
      </c>
      <c r="AN9" s="86" t="b">
        <v>0</v>
      </c>
      <c r="AO9" s="92" t="s">
        <v>325</v>
      </c>
      <c r="AP9" s="86" t="s">
        <v>176</v>
      </c>
      <c r="AQ9" s="86">
        <v>0</v>
      </c>
      <c r="AR9" s="86">
        <v>0</v>
      </c>
      <c r="AS9" s="86"/>
      <c r="AT9" s="86"/>
      <c r="AU9" s="86"/>
      <c r="AV9" s="86"/>
      <c r="AW9" s="86"/>
      <c r="AX9" s="86"/>
      <c r="AY9" s="86"/>
      <c r="AZ9" s="86"/>
      <c r="BA9">
        <v>1</v>
      </c>
      <c r="BB9" s="85" t="str">
        <f>REPLACE(INDEX(GroupVertices[Group],MATCH(Edges[[#This Row],[Vertex 1]],GroupVertices[Vertex],0)),1,1,"")</f>
        <v>3</v>
      </c>
      <c r="BC9" s="85" t="str">
        <f>REPLACE(INDEX(GroupVertices[Group],MATCH(Edges[[#This Row],[Vertex 2]],GroupVertices[Vertex],0)),1,1,"")</f>
        <v>3</v>
      </c>
      <c r="BD9" s="51">
        <v>0</v>
      </c>
      <c r="BE9" s="52">
        <v>0</v>
      </c>
      <c r="BF9" s="51">
        <v>0</v>
      </c>
      <c r="BG9" s="52">
        <v>0</v>
      </c>
      <c r="BH9" s="51">
        <v>0</v>
      </c>
      <c r="BI9" s="52">
        <v>0</v>
      </c>
      <c r="BJ9" s="51">
        <v>40</v>
      </c>
      <c r="BK9" s="52">
        <v>100</v>
      </c>
      <c r="BL9" s="51">
        <v>40</v>
      </c>
    </row>
    <row r="10" spans="1:64" ht="15">
      <c r="A10" s="84" t="s">
        <v>216</v>
      </c>
      <c r="B10" s="84" t="s">
        <v>233</v>
      </c>
      <c r="C10" s="53" t="s">
        <v>901</v>
      </c>
      <c r="D10" s="54">
        <v>3</v>
      </c>
      <c r="E10" s="65" t="s">
        <v>132</v>
      </c>
      <c r="F10" s="55">
        <v>32</v>
      </c>
      <c r="G10" s="53"/>
      <c r="H10" s="57"/>
      <c r="I10" s="56"/>
      <c r="J10" s="56"/>
      <c r="K10" s="36" t="s">
        <v>65</v>
      </c>
      <c r="L10" s="83">
        <v>10</v>
      </c>
      <c r="M10" s="83"/>
      <c r="N10" s="63"/>
      <c r="O10" s="86" t="s">
        <v>239</v>
      </c>
      <c r="P10" s="88">
        <v>43640.91914351852</v>
      </c>
      <c r="Q10" s="86" t="s">
        <v>242</v>
      </c>
      <c r="R10" s="86"/>
      <c r="S10" s="86"/>
      <c r="T10" s="86"/>
      <c r="U10" s="86"/>
      <c r="V10" s="89" t="s">
        <v>283</v>
      </c>
      <c r="W10" s="88">
        <v>43640.91914351852</v>
      </c>
      <c r="X10" s="89" t="s">
        <v>300</v>
      </c>
      <c r="Y10" s="86"/>
      <c r="Z10" s="86"/>
      <c r="AA10" s="92" t="s">
        <v>326</v>
      </c>
      <c r="AB10" s="86"/>
      <c r="AC10" s="86" t="b">
        <v>0</v>
      </c>
      <c r="AD10" s="86">
        <v>0</v>
      </c>
      <c r="AE10" s="92" t="s">
        <v>349</v>
      </c>
      <c r="AF10" s="86" t="b">
        <v>0</v>
      </c>
      <c r="AG10" s="86" t="s">
        <v>352</v>
      </c>
      <c r="AH10" s="86"/>
      <c r="AI10" s="92" t="s">
        <v>349</v>
      </c>
      <c r="AJ10" s="86" t="b">
        <v>0</v>
      </c>
      <c r="AK10" s="86">
        <v>3</v>
      </c>
      <c r="AL10" s="92" t="s">
        <v>325</v>
      </c>
      <c r="AM10" s="86" t="s">
        <v>356</v>
      </c>
      <c r="AN10" s="86" t="b">
        <v>0</v>
      </c>
      <c r="AO10" s="92" t="s">
        <v>325</v>
      </c>
      <c r="AP10" s="86" t="s">
        <v>176</v>
      </c>
      <c r="AQ10" s="86">
        <v>0</v>
      </c>
      <c r="AR10" s="86">
        <v>0</v>
      </c>
      <c r="AS10" s="86"/>
      <c r="AT10" s="86"/>
      <c r="AU10" s="86"/>
      <c r="AV10" s="86"/>
      <c r="AW10" s="86"/>
      <c r="AX10" s="86"/>
      <c r="AY10" s="86"/>
      <c r="AZ10" s="86"/>
      <c r="BA10">
        <v>1</v>
      </c>
      <c r="BB10" s="85" t="str">
        <f>REPLACE(INDEX(GroupVertices[Group],MATCH(Edges[[#This Row],[Vertex 1]],GroupVertices[Vertex],0)),1,1,"")</f>
        <v>3</v>
      </c>
      <c r="BC10" s="85" t="str">
        <f>REPLACE(INDEX(GroupVertices[Group],MATCH(Edges[[#This Row],[Vertex 2]],GroupVertices[Vertex],0)),1,1,"")</f>
        <v>3</v>
      </c>
      <c r="BD10" s="51"/>
      <c r="BE10" s="52"/>
      <c r="BF10" s="51"/>
      <c r="BG10" s="52"/>
      <c r="BH10" s="51"/>
      <c r="BI10" s="52"/>
      <c r="BJ10" s="51"/>
      <c r="BK10" s="52"/>
      <c r="BL10" s="51"/>
    </row>
    <row r="11" spans="1:64" ht="15">
      <c r="A11" s="84" t="s">
        <v>216</v>
      </c>
      <c r="B11" s="84" t="s">
        <v>215</v>
      </c>
      <c r="C11" s="53" t="s">
        <v>901</v>
      </c>
      <c r="D11" s="54">
        <v>3</v>
      </c>
      <c r="E11" s="65" t="s">
        <v>132</v>
      </c>
      <c r="F11" s="55">
        <v>32</v>
      </c>
      <c r="G11" s="53"/>
      <c r="H11" s="57"/>
      <c r="I11" s="56"/>
      <c r="J11" s="56"/>
      <c r="K11" s="36" t="s">
        <v>65</v>
      </c>
      <c r="L11" s="83">
        <v>11</v>
      </c>
      <c r="M11" s="83"/>
      <c r="N11" s="63"/>
      <c r="O11" s="86" t="s">
        <v>239</v>
      </c>
      <c r="P11" s="88">
        <v>43640.91914351852</v>
      </c>
      <c r="Q11" s="86" t="s">
        <v>242</v>
      </c>
      <c r="R11" s="86"/>
      <c r="S11" s="86"/>
      <c r="T11" s="86"/>
      <c r="U11" s="86"/>
      <c r="V11" s="89" t="s">
        <v>283</v>
      </c>
      <c r="W11" s="88">
        <v>43640.91914351852</v>
      </c>
      <c r="X11" s="89" t="s">
        <v>300</v>
      </c>
      <c r="Y11" s="86"/>
      <c r="Z11" s="86"/>
      <c r="AA11" s="92" t="s">
        <v>326</v>
      </c>
      <c r="AB11" s="86"/>
      <c r="AC11" s="86" t="b">
        <v>0</v>
      </c>
      <c r="AD11" s="86">
        <v>0</v>
      </c>
      <c r="AE11" s="92" t="s">
        <v>349</v>
      </c>
      <c r="AF11" s="86" t="b">
        <v>0</v>
      </c>
      <c r="AG11" s="86" t="s">
        <v>352</v>
      </c>
      <c r="AH11" s="86"/>
      <c r="AI11" s="92" t="s">
        <v>349</v>
      </c>
      <c r="AJ11" s="86" t="b">
        <v>0</v>
      </c>
      <c r="AK11" s="86">
        <v>3</v>
      </c>
      <c r="AL11" s="92" t="s">
        <v>325</v>
      </c>
      <c r="AM11" s="86" t="s">
        <v>356</v>
      </c>
      <c r="AN11" s="86" t="b">
        <v>0</v>
      </c>
      <c r="AO11" s="92" t="s">
        <v>325</v>
      </c>
      <c r="AP11" s="86" t="s">
        <v>176</v>
      </c>
      <c r="AQ11" s="86">
        <v>0</v>
      </c>
      <c r="AR11" s="86">
        <v>0</v>
      </c>
      <c r="AS11" s="86"/>
      <c r="AT11" s="86"/>
      <c r="AU11" s="86"/>
      <c r="AV11" s="86"/>
      <c r="AW11" s="86"/>
      <c r="AX11" s="86"/>
      <c r="AY11" s="86"/>
      <c r="AZ11" s="86"/>
      <c r="BA11">
        <v>1</v>
      </c>
      <c r="BB11" s="85" t="str">
        <f>REPLACE(INDEX(GroupVertices[Group],MATCH(Edges[[#This Row],[Vertex 1]],GroupVertices[Vertex],0)),1,1,"")</f>
        <v>3</v>
      </c>
      <c r="BC11" s="85" t="str">
        <f>REPLACE(INDEX(GroupVertices[Group],MATCH(Edges[[#This Row],[Vertex 2]],GroupVertices[Vertex],0)),1,1,"")</f>
        <v>3</v>
      </c>
      <c r="BD11" s="51">
        <v>0</v>
      </c>
      <c r="BE11" s="52">
        <v>0</v>
      </c>
      <c r="BF11" s="51">
        <v>0</v>
      </c>
      <c r="BG11" s="52">
        <v>0</v>
      </c>
      <c r="BH11" s="51">
        <v>0</v>
      </c>
      <c r="BI11" s="52">
        <v>0</v>
      </c>
      <c r="BJ11" s="51">
        <v>19</v>
      </c>
      <c r="BK11" s="52">
        <v>100</v>
      </c>
      <c r="BL11" s="51">
        <v>19</v>
      </c>
    </row>
    <row r="12" spans="1:64" ht="15">
      <c r="A12" s="84" t="s">
        <v>217</v>
      </c>
      <c r="B12" s="84" t="s">
        <v>234</v>
      </c>
      <c r="C12" s="53" t="s">
        <v>901</v>
      </c>
      <c r="D12" s="54">
        <v>3</v>
      </c>
      <c r="E12" s="65" t="s">
        <v>132</v>
      </c>
      <c r="F12" s="55">
        <v>32</v>
      </c>
      <c r="G12" s="53"/>
      <c r="H12" s="57"/>
      <c r="I12" s="56"/>
      <c r="J12" s="56"/>
      <c r="K12" s="36" t="s">
        <v>65</v>
      </c>
      <c r="L12" s="83">
        <v>12</v>
      </c>
      <c r="M12" s="83"/>
      <c r="N12" s="63"/>
      <c r="O12" s="86" t="s">
        <v>239</v>
      </c>
      <c r="P12" s="88">
        <v>43645.71127314815</v>
      </c>
      <c r="Q12" s="86" t="s">
        <v>244</v>
      </c>
      <c r="R12" s="86"/>
      <c r="S12" s="86"/>
      <c r="T12" s="86"/>
      <c r="U12" s="86"/>
      <c r="V12" s="89" t="s">
        <v>284</v>
      </c>
      <c r="W12" s="88">
        <v>43645.71127314815</v>
      </c>
      <c r="X12" s="89" t="s">
        <v>301</v>
      </c>
      <c r="Y12" s="86"/>
      <c r="Z12" s="86"/>
      <c r="AA12" s="92" t="s">
        <v>327</v>
      </c>
      <c r="AB12" s="86"/>
      <c r="AC12" s="86" t="b">
        <v>0</v>
      </c>
      <c r="AD12" s="86">
        <v>0</v>
      </c>
      <c r="AE12" s="92" t="s">
        <v>349</v>
      </c>
      <c r="AF12" s="86" t="b">
        <v>0</v>
      </c>
      <c r="AG12" s="86" t="s">
        <v>353</v>
      </c>
      <c r="AH12" s="86"/>
      <c r="AI12" s="92" t="s">
        <v>349</v>
      </c>
      <c r="AJ12" s="86" t="b">
        <v>0</v>
      </c>
      <c r="AK12" s="86">
        <v>7</v>
      </c>
      <c r="AL12" s="92" t="s">
        <v>333</v>
      </c>
      <c r="AM12" s="86" t="s">
        <v>358</v>
      </c>
      <c r="AN12" s="86" t="b">
        <v>0</v>
      </c>
      <c r="AO12" s="92" t="s">
        <v>333</v>
      </c>
      <c r="AP12" s="86" t="s">
        <v>176</v>
      </c>
      <c r="AQ12" s="86">
        <v>0</v>
      </c>
      <c r="AR12" s="86">
        <v>0</v>
      </c>
      <c r="AS12" s="86"/>
      <c r="AT12" s="86"/>
      <c r="AU12" s="86"/>
      <c r="AV12" s="86"/>
      <c r="AW12" s="86"/>
      <c r="AX12" s="86"/>
      <c r="AY12" s="86"/>
      <c r="AZ12" s="86"/>
      <c r="BA12">
        <v>1</v>
      </c>
      <c r="BB12" s="85" t="str">
        <f>REPLACE(INDEX(GroupVertices[Group],MATCH(Edges[[#This Row],[Vertex 1]],GroupVertices[Vertex],0)),1,1,"")</f>
        <v>1</v>
      </c>
      <c r="BC12" s="85" t="str">
        <f>REPLACE(INDEX(GroupVertices[Group],MATCH(Edges[[#This Row],[Vertex 2]],GroupVertices[Vertex],0)),1,1,"")</f>
        <v>1</v>
      </c>
      <c r="BD12" s="51"/>
      <c r="BE12" s="52"/>
      <c r="BF12" s="51"/>
      <c r="BG12" s="52"/>
      <c r="BH12" s="51"/>
      <c r="BI12" s="52"/>
      <c r="BJ12" s="51"/>
      <c r="BK12" s="52"/>
      <c r="BL12" s="51"/>
    </row>
    <row r="13" spans="1:64" ht="15">
      <c r="A13" s="84" t="s">
        <v>217</v>
      </c>
      <c r="B13" s="84" t="s">
        <v>223</v>
      </c>
      <c r="C13" s="53" t="s">
        <v>901</v>
      </c>
      <c r="D13" s="54">
        <v>3</v>
      </c>
      <c r="E13" s="65" t="s">
        <v>132</v>
      </c>
      <c r="F13" s="55">
        <v>32</v>
      </c>
      <c r="G13" s="53"/>
      <c r="H13" s="57"/>
      <c r="I13" s="56"/>
      <c r="J13" s="56"/>
      <c r="K13" s="36" t="s">
        <v>65</v>
      </c>
      <c r="L13" s="83">
        <v>13</v>
      </c>
      <c r="M13" s="83"/>
      <c r="N13" s="63"/>
      <c r="O13" s="86" t="s">
        <v>239</v>
      </c>
      <c r="P13" s="88">
        <v>43645.71127314815</v>
      </c>
      <c r="Q13" s="86" t="s">
        <v>244</v>
      </c>
      <c r="R13" s="86"/>
      <c r="S13" s="86"/>
      <c r="T13" s="86"/>
      <c r="U13" s="86"/>
      <c r="V13" s="89" t="s">
        <v>284</v>
      </c>
      <c r="W13" s="88">
        <v>43645.71127314815</v>
      </c>
      <c r="X13" s="89" t="s">
        <v>301</v>
      </c>
      <c r="Y13" s="86"/>
      <c r="Z13" s="86"/>
      <c r="AA13" s="92" t="s">
        <v>327</v>
      </c>
      <c r="AB13" s="86"/>
      <c r="AC13" s="86" t="b">
        <v>0</v>
      </c>
      <c r="AD13" s="86">
        <v>0</v>
      </c>
      <c r="AE13" s="92" t="s">
        <v>349</v>
      </c>
      <c r="AF13" s="86" t="b">
        <v>0</v>
      </c>
      <c r="AG13" s="86" t="s">
        <v>353</v>
      </c>
      <c r="AH13" s="86"/>
      <c r="AI13" s="92" t="s">
        <v>349</v>
      </c>
      <c r="AJ13" s="86" t="b">
        <v>0</v>
      </c>
      <c r="AK13" s="86">
        <v>7</v>
      </c>
      <c r="AL13" s="92" t="s">
        <v>333</v>
      </c>
      <c r="AM13" s="86" t="s">
        <v>358</v>
      </c>
      <c r="AN13" s="86" t="b">
        <v>0</v>
      </c>
      <c r="AO13" s="92" t="s">
        <v>333</v>
      </c>
      <c r="AP13" s="86" t="s">
        <v>176</v>
      </c>
      <c r="AQ13" s="86">
        <v>0</v>
      </c>
      <c r="AR13" s="86">
        <v>0</v>
      </c>
      <c r="AS13" s="86"/>
      <c r="AT13" s="86"/>
      <c r="AU13" s="86"/>
      <c r="AV13" s="86"/>
      <c r="AW13" s="86"/>
      <c r="AX13" s="86"/>
      <c r="AY13" s="86"/>
      <c r="AZ13" s="86"/>
      <c r="BA13">
        <v>1</v>
      </c>
      <c r="BB13" s="85" t="str">
        <f>REPLACE(INDEX(GroupVertices[Group],MATCH(Edges[[#This Row],[Vertex 1]],GroupVertices[Vertex],0)),1,1,"")</f>
        <v>1</v>
      </c>
      <c r="BC13" s="85" t="str">
        <f>REPLACE(INDEX(GroupVertices[Group],MATCH(Edges[[#This Row],[Vertex 2]],GroupVertices[Vertex],0)),1,1,"")</f>
        <v>1</v>
      </c>
      <c r="BD13" s="51">
        <v>0</v>
      </c>
      <c r="BE13" s="52">
        <v>0</v>
      </c>
      <c r="BF13" s="51">
        <v>0</v>
      </c>
      <c r="BG13" s="52">
        <v>0</v>
      </c>
      <c r="BH13" s="51">
        <v>0</v>
      </c>
      <c r="BI13" s="52">
        <v>0</v>
      </c>
      <c r="BJ13" s="51">
        <v>20</v>
      </c>
      <c r="BK13" s="52">
        <v>100</v>
      </c>
      <c r="BL13" s="51">
        <v>20</v>
      </c>
    </row>
    <row r="14" spans="1:64" ht="15">
      <c r="A14" s="84" t="s">
        <v>218</v>
      </c>
      <c r="B14" s="84" t="s">
        <v>234</v>
      </c>
      <c r="C14" s="53" t="s">
        <v>901</v>
      </c>
      <c r="D14" s="54">
        <v>3</v>
      </c>
      <c r="E14" s="65" t="s">
        <v>132</v>
      </c>
      <c r="F14" s="55">
        <v>32</v>
      </c>
      <c r="G14" s="53"/>
      <c r="H14" s="57"/>
      <c r="I14" s="56"/>
      <c r="J14" s="56"/>
      <c r="K14" s="36" t="s">
        <v>65</v>
      </c>
      <c r="L14" s="83">
        <v>14</v>
      </c>
      <c r="M14" s="83"/>
      <c r="N14" s="63"/>
      <c r="O14" s="86" t="s">
        <v>239</v>
      </c>
      <c r="P14" s="88">
        <v>43645.72420138889</v>
      </c>
      <c r="Q14" s="86" t="s">
        <v>244</v>
      </c>
      <c r="R14" s="86"/>
      <c r="S14" s="86"/>
      <c r="T14" s="86"/>
      <c r="U14" s="86"/>
      <c r="V14" s="89" t="s">
        <v>285</v>
      </c>
      <c r="W14" s="88">
        <v>43645.72420138889</v>
      </c>
      <c r="X14" s="89" t="s">
        <v>302</v>
      </c>
      <c r="Y14" s="86"/>
      <c r="Z14" s="86"/>
      <c r="AA14" s="92" t="s">
        <v>328</v>
      </c>
      <c r="AB14" s="86"/>
      <c r="AC14" s="86" t="b">
        <v>0</v>
      </c>
      <c r="AD14" s="86">
        <v>0</v>
      </c>
      <c r="AE14" s="92" t="s">
        <v>349</v>
      </c>
      <c r="AF14" s="86" t="b">
        <v>0</v>
      </c>
      <c r="AG14" s="86" t="s">
        <v>353</v>
      </c>
      <c r="AH14" s="86"/>
      <c r="AI14" s="92" t="s">
        <v>349</v>
      </c>
      <c r="AJ14" s="86" t="b">
        <v>0</v>
      </c>
      <c r="AK14" s="86">
        <v>7</v>
      </c>
      <c r="AL14" s="92" t="s">
        <v>333</v>
      </c>
      <c r="AM14" s="86" t="s">
        <v>359</v>
      </c>
      <c r="AN14" s="86" t="b">
        <v>0</v>
      </c>
      <c r="AO14" s="92" t="s">
        <v>333</v>
      </c>
      <c r="AP14" s="86" t="s">
        <v>176</v>
      </c>
      <c r="AQ14" s="86">
        <v>0</v>
      </c>
      <c r="AR14" s="86">
        <v>0</v>
      </c>
      <c r="AS14" s="86"/>
      <c r="AT14" s="86"/>
      <c r="AU14" s="86"/>
      <c r="AV14" s="86"/>
      <c r="AW14" s="86"/>
      <c r="AX14" s="86"/>
      <c r="AY14" s="86"/>
      <c r="AZ14" s="86"/>
      <c r="BA14">
        <v>1</v>
      </c>
      <c r="BB14" s="85" t="str">
        <f>REPLACE(INDEX(GroupVertices[Group],MATCH(Edges[[#This Row],[Vertex 1]],GroupVertices[Vertex],0)),1,1,"")</f>
        <v>1</v>
      </c>
      <c r="BC14" s="85" t="str">
        <f>REPLACE(INDEX(GroupVertices[Group],MATCH(Edges[[#This Row],[Vertex 2]],GroupVertices[Vertex],0)),1,1,"")</f>
        <v>1</v>
      </c>
      <c r="BD14" s="51"/>
      <c r="BE14" s="52"/>
      <c r="BF14" s="51"/>
      <c r="BG14" s="52"/>
      <c r="BH14" s="51"/>
      <c r="BI14" s="52"/>
      <c r="BJ14" s="51"/>
      <c r="BK14" s="52"/>
      <c r="BL14" s="51"/>
    </row>
    <row r="15" spans="1:64" ht="15">
      <c r="A15" s="84" t="s">
        <v>218</v>
      </c>
      <c r="B15" s="84" t="s">
        <v>223</v>
      </c>
      <c r="C15" s="53" t="s">
        <v>901</v>
      </c>
      <c r="D15" s="54">
        <v>3</v>
      </c>
      <c r="E15" s="65" t="s">
        <v>132</v>
      </c>
      <c r="F15" s="55">
        <v>32</v>
      </c>
      <c r="G15" s="53"/>
      <c r="H15" s="57"/>
      <c r="I15" s="56"/>
      <c r="J15" s="56"/>
      <c r="K15" s="36" t="s">
        <v>65</v>
      </c>
      <c r="L15" s="83">
        <v>15</v>
      </c>
      <c r="M15" s="83"/>
      <c r="N15" s="63"/>
      <c r="O15" s="86" t="s">
        <v>239</v>
      </c>
      <c r="P15" s="88">
        <v>43645.72420138889</v>
      </c>
      <c r="Q15" s="86" t="s">
        <v>244</v>
      </c>
      <c r="R15" s="86"/>
      <c r="S15" s="86"/>
      <c r="T15" s="86"/>
      <c r="U15" s="86"/>
      <c r="V15" s="89" t="s">
        <v>285</v>
      </c>
      <c r="W15" s="88">
        <v>43645.72420138889</v>
      </c>
      <c r="X15" s="89" t="s">
        <v>302</v>
      </c>
      <c r="Y15" s="86"/>
      <c r="Z15" s="86"/>
      <c r="AA15" s="92" t="s">
        <v>328</v>
      </c>
      <c r="AB15" s="86"/>
      <c r="AC15" s="86" t="b">
        <v>0</v>
      </c>
      <c r="AD15" s="86">
        <v>0</v>
      </c>
      <c r="AE15" s="92" t="s">
        <v>349</v>
      </c>
      <c r="AF15" s="86" t="b">
        <v>0</v>
      </c>
      <c r="AG15" s="86" t="s">
        <v>353</v>
      </c>
      <c r="AH15" s="86"/>
      <c r="AI15" s="92" t="s">
        <v>349</v>
      </c>
      <c r="AJ15" s="86" t="b">
        <v>0</v>
      </c>
      <c r="AK15" s="86">
        <v>7</v>
      </c>
      <c r="AL15" s="92" t="s">
        <v>333</v>
      </c>
      <c r="AM15" s="86" t="s">
        <v>359</v>
      </c>
      <c r="AN15" s="86" t="b">
        <v>0</v>
      </c>
      <c r="AO15" s="92" t="s">
        <v>333</v>
      </c>
      <c r="AP15" s="86" t="s">
        <v>176</v>
      </c>
      <c r="AQ15" s="86">
        <v>0</v>
      </c>
      <c r="AR15" s="86">
        <v>0</v>
      </c>
      <c r="AS15" s="86"/>
      <c r="AT15" s="86"/>
      <c r="AU15" s="86"/>
      <c r="AV15" s="86"/>
      <c r="AW15" s="86"/>
      <c r="AX15" s="86"/>
      <c r="AY15" s="86"/>
      <c r="AZ15" s="86"/>
      <c r="BA15">
        <v>1</v>
      </c>
      <c r="BB15" s="85" t="str">
        <f>REPLACE(INDEX(GroupVertices[Group],MATCH(Edges[[#This Row],[Vertex 1]],GroupVertices[Vertex],0)),1,1,"")</f>
        <v>1</v>
      </c>
      <c r="BC15" s="85" t="str">
        <f>REPLACE(INDEX(GroupVertices[Group],MATCH(Edges[[#This Row],[Vertex 2]],GroupVertices[Vertex],0)),1,1,"")</f>
        <v>1</v>
      </c>
      <c r="BD15" s="51">
        <v>0</v>
      </c>
      <c r="BE15" s="52">
        <v>0</v>
      </c>
      <c r="BF15" s="51">
        <v>0</v>
      </c>
      <c r="BG15" s="52">
        <v>0</v>
      </c>
      <c r="BH15" s="51">
        <v>0</v>
      </c>
      <c r="BI15" s="52">
        <v>0</v>
      </c>
      <c r="BJ15" s="51">
        <v>20</v>
      </c>
      <c r="BK15" s="52">
        <v>100</v>
      </c>
      <c r="BL15" s="51">
        <v>20</v>
      </c>
    </row>
    <row r="16" spans="1:64" ht="15">
      <c r="A16" s="84" t="s">
        <v>219</v>
      </c>
      <c r="B16" s="84" t="s">
        <v>234</v>
      </c>
      <c r="C16" s="53" t="s">
        <v>901</v>
      </c>
      <c r="D16" s="54">
        <v>3</v>
      </c>
      <c r="E16" s="65" t="s">
        <v>132</v>
      </c>
      <c r="F16" s="55">
        <v>32</v>
      </c>
      <c r="G16" s="53"/>
      <c r="H16" s="57"/>
      <c r="I16" s="56"/>
      <c r="J16" s="56"/>
      <c r="K16" s="36" t="s">
        <v>65</v>
      </c>
      <c r="L16" s="83">
        <v>16</v>
      </c>
      <c r="M16" s="83"/>
      <c r="N16" s="63"/>
      <c r="O16" s="86" t="s">
        <v>239</v>
      </c>
      <c r="P16" s="88">
        <v>43645.896631944444</v>
      </c>
      <c r="Q16" s="86" t="s">
        <v>244</v>
      </c>
      <c r="R16" s="86"/>
      <c r="S16" s="86"/>
      <c r="T16" s="86"/>
      <c r="U16" s="86"/>
      <c r="V16" s="89" t="s">
        <v>286</v>
      </c>
      <c r="W16" s="88">
        <v>43645.896631944444</v>
      </c>
      <c r="X16" s="89" t="s">
        <v>303</v>
      </c>
      <c r="Y16" s="86"/>
      <c r="Z16" s="86"/>
      <c r="AA16" s="92" t="s">
        <v>329</v>
      </c>
      <c r="AB16" s="86"/>
      <c r="AC16" s="86" t="b">
        <v>0</v>
      </c>
      <c r="AD16" s="86">
        <v>0</v>
      </c>
      <c r="AE16" s="92" t="s">
        <v>349</v>
      </c>
      <c r="AF16" s="86" t="b">
        <v>0</v>
      </c>
      <c r="AG16" s="86" t="s">
        <v>353</v>
      </c>
      <c r="AH16" s="86"/>
      <c r="AI16" s="92" t="s">
        <v>349</v>
      </c>
      <c r="AJ16" s="86" t="b">
        <v>0</v>
      </c>
      <c r="AK16" s="86">
        <v>7</v>
      </c>
      <c r="AL16" s="92" t="s">
        <v>333</v>
      </c>
      <c r="AM16" s="86" t="s">
        <v>356</v>
      </c>
      <c r="AN16" s="86" t="b">
        <v>0</v>
      </c>
      <c r="AO16" s="92" t="s">
        <v>333</v>
      </c>
      <c r="AP16" s="86" t="s">
        <v>176</v>
      </c>
      <c r="AQ16" s="86">
        <v>0</v>
      </c>
      <c r="AR16" s="86">
        <v>0</v>
      </c>
      <c r="AS16" s="86"/>
      <c r="AT16" s="86"/>
      <c r="AU16" s="86"/>
      <c r="AV16" s="86"/>
      <c r="AW16" s="86"/>
      <c r="AX16" s="86"/>
      <c r="AY16" s="86"/>
      <c r="AZ16" s="86"/>
      <c r="BA16">
        <v>1</v>
      </c>
      <c r="BB16" s="85" t="str">
        <f>REPLACE(INDEX(GroupVertices[Group],MATCH(Edges[[#This Row],[Vertex 1]],GroupVertices[Vertex],0)),1,1,"")</f>
        <v>1</v>
      </c>
      <c r="BC16" s="85" t="str">
        <f>REPLACE(INDEX(GroupVertices[Group],MATCH(Edges[[#This Row],[Vertex 2]],GroupVertices[Vertex],0)),1,1,"")</f>
        <v>1</v>
      </c>
      <c r="BD16" s="51"/>
      <c r="BE16" s="52"/>
      <c r="BF16" s="51"/>
      <c r="BG16" s="52"/>
      <c r="BH16" s="51"/>
      <c r="BI16" s="52"/>
      <c r="BJ16" s="51"/>
      <c r="BK16" s="52"/>
      <c r="BL16" s="51"/>
    </row>
    <row r="17" spans="1:64" ht="15">
      <c r="A17" s="84" t="s">
        <v>219</v>
      </c>
      <c r="B17" s="84" t="s">
        <v>223</v>
      </c>
      <c r="C17" s="53" t="s">
        <v>901</v>
      </c>
      <c r="D17" s="54">
        <v>3</v>
      </c>
      <c r="E17" s="65" t="s">
        <v>132</v>
      </c>
      <c r="F17" s="55">
        <v>32</v>
      </c>
      <c r="G17" s="53"/>
      <c r="H17" s="57"/>
      <c r="I17" s="56"/>
      <c r="J17" s="56"/>
      <c r="K17" s="36" t="s">
        <v>65</v>
      </c>
      <c r="L17" s="83">
        <v>17</v>
      </c>
      <c r="M17" s="83"/>
      <c r="N17" s="63"/>
      <c r="O17" s="86" t="s">
        <v>239</v>
      </c>
      <c r="P17" s="88">
        <v>43645.896631944444</v>
      </c>
      <c r="Q17" s="86" t="s">
        <v>244</v>
      </c>
      <c r="R17" s="86"/>
      <c r="S17" s="86"/>
      <c r="T17" s="86"/>
      <c r="U17" s="86"/>
      <c r="V17" s="89" t="s">
        <v>286</v>
      </c>
      <c r="W17" s="88">
        <v>43645.896631944444</v>
      </c>
      <c r="X17" s="89" t="s">
        <v>303</v>
      </c>
      <c r="Y17" s="86"/>
      <c r="Z17" s="86"/>
      <c r="AA17" s="92" t="s">
        <v>329</v>
      </c>
      <c r="AB17" s="86"/>
      <c r="AC17" s="86" t="b">
        <v>0</v>
      </c>
      <c r="AD17" s="86">
        <v>0</v>
      </c>
      <c r="AE17" s="92" t="s">
        <v>349</v>
      </c>
      <c r="AF17" s="86" t="b">
        <v>0</v>
      </c>
      <c r="AG17" s="86" t="s">
        <v>353</v>
      </c>
      <c r="AH17" s="86"/>
      <c r="AI17" s="92" t="s">
        <v>349</v>
      </c>
      <c r="AJ17" s="86" t="b">
        <v>0</v>
      </c>
      <c r="AK17" s="86">
        <v>7</v>
      </c>
      <c r="AL17" s="92" t="s">
        <v>333</v>
      </c>
      <c r="AM17" s="86" t="s">
        <v>356</v>
      </c>
      <c r="AN17" s="86" t="b">
        <v>0</v>
      </c>
      <c r="AO17" s="92" t="s">
        <v>333</v>
      </c>
      <c r="AP17" s="86" t="s">
        <v>176</v>
      </c>
      <c r="AQ17" s="86">
        <v>0</v>
      </c>
      <c r="AR17" s="86">
        <v>0</v>
      </c>
      <c r="AS17" s="86"/>
      <c r="AT17" s="86"/>
      <c r="AU17" s="86"/>
      <c r="AV17" s="86"/>
      <c r="AW17" s="86"/>
      <c r="AX17" s="86"/>
      <c r="AY17" s="86"/>
      <c r="AZ17" s="86"/>
      <c r="BA17">
        <v>1</v>
      </c>
      <c r="BB17" s="85" t="str">
        <f>REPLACE(INDEX(GroupVertices[Group],MATCH(Edges[[#This Row],[Vertex 1]],GroupVertices[Vertex],0)),1,1,"")</f>
        <v>1</v>
      </c>
      <c r="BC17" s="85" t="str">
        <f>REPLACE(INDEX(GroupVertices[Group],MATCH(Edges[[#This Row],[Vertex 2]],GroupVertices[Vertex],0)),1,1,"")</f>
        <v>1</v>
      </c>
      <c r="BD17" s="51">
        <v>0</v>
      </c>
      <c r="BE17" s="52">
        <v>0</v>
      </c>
      <c r="BF17" s="51">
        <v>0</v>
      </c>
      <c r="BG17" s="52">
        <v>0</v>
      </c>
      <c r="BH17" s="51">
        <v>0</v>
      </c>
      <c r="BI17" s="52">
        <v>0</v>
      </c>
      <c r="BJ17" s="51">
        <v>20</v>
      </c>
      <c r="BK17" s="52">
        <v>100</v>
      </c>
      <c r="BL17" s="51">
        <v>20</v>
      </c>
    </row>
    <row r="18" spans="1:64" ht="15">
      <c r="A18" s="84" t="s">
        <v>220</v>
      </c>
      <c r="B18" s="84" t="s">
        <v>234</v>
      </c>
      <c r="C18" s="53" t="s">
        <v>901</v>
      </c>
      <c r="D18" s="54">
        <v>3</v>
      </c>
      <c r="E18" s="65" t="s">
        <v>132</v>
      </c>
      <c r="F18" s="55">
        <v>32</v>
      </c>
      <c r="G18" s="53"/>
      <c r="H18" s="57"/>
      <c r="I18" s="56"/>
      <c r="J18" s="56"/>
      <c r="K18" s="36" t="s">
        <v>65</v>
      </c>
      <c r="L18" s="83">
        <v>18</v>
      </c>
      <c r="M18" s="83"/>
      <c r="N18" s="63"/>
      <c r="O18" s="86" t="s">
        <v>239</v>
      </c>
      <c r="P18" s="88">
        <v>43646.04204861111</v>
      </c>
      <c r="Q18" s="86" t="s">
        <v>244</v>
      </c>
      <c r="R18" s="86"/>
      <c r="S18" s="86"/>
      <c r="T18" s="86"/>
      <c r="U18" s="86"/>
      <c r="V18" s="89" t="s">
        <v>287</v>
      </c>
      <c r="W18" s="88">
        <v>43646.04204861111</v>
      </c>
      <c r="X18" s="89" t="s">
        <v>304</v>
      </c>
      <c r="Y18" s="86"/>
      <c r="Z18" s="86"/>
      <c r="AA18" s="92" t="s">
        <v>330</v>
      </c>
      <c r="AB18" s="86"/>
      <c r="AC18" s="86" t="b">
        <v>0</v>
      </c>
      <c r="AD18" s="86">
        <v>0</v>
      </c>
      <c r="AE18" s="92" t="s">
        <v>349</v>
      </c>
      <c r="AF18" s="86" t="b">
        <v>0</v>
      </c>
      <c r="AG18" s="86" t="s">
        <v>353</v>
      </c>
      <c r="AH18" s="86"/>
      <c r="AI18" s="92" t="s">
        <v>349</v>
      </c>
      <c r="AJ18" s="86" t="b">
        <v>0</v>
      </c>
      <c r="AK18" s="86">
        <v>7</v>
      </c>
      <c r="AL18" s="92" t="s">
        <v>333</v>
      </c>
      <c r="AM18" s="86" t="s">
        <v>359</v>
      </c>
      <c r="AN18" s="86" t="b">
        <v>0</v>
      </c>
      <c r="AO18" s="92" t="s">
        <v>333</v>
      </c>
      <c r="AP18" s="86" t="s">
        <v>176</v>
      </c>
      <c r="AQ18" s="86">
        <v>0</v>
      </c>
      <c r="AR18" s="86">
        <v>0</v>
      </c>
      <c r="AS18" s="86"/>
      <c r="AT18" s="86"/>
      <c r="AU18" s="86"/>
      <c r="AV18" s="86"/>
      <c r="AW18" s="86"/>
      <c r="AX18" s="86"/>
      <c r="AY18" s="86"/>
      <c r="AZ18" s="86"/>
      <c r="BA18">
        <v>1</v>
      </c>
      <c r="BB18" s="85" t="str">
        <f>REPLACE(INDEX(GroupVertices[Group],MATCH(Edges[[#This Row],[Vertex 1]],GroupVertices[Vertex],0)),1,1,"")</f>
        <v>1</v>
      </c>
      <c r="BC18" s="85" t="str">
        <f>REPLACE(INDEX(GroupVertices[Group],MATCH(Edges[[#This Row],[Vertex 2]],GroupVertices[Vertex],0)),1,1,"")</f>
        <v>1</v>
      </c>
      <c r="BD18" s="51"/>
      <c r="BE18" s="52"/>
      <c r="BF18" s="51"/>
      <c r="BG18" s="52"/>
      <c r="BH18" s="51"/>
      <c r="BI18" s="52"/>
      <c r="BJ18" s="51"/>
      <c r="BK18" s="52"/>
      <c r="BL18" s="51"/>
    </row>
    <row r="19" spans="1:64" ht="15">
      <c r="A19" s="84" t="s">
        <v>220</v>
      </c>
      <c r="B19" s="84" t="s">
        <v>223</v>
      </c>
      <c r="C19" s="53" t="s">
        <v>901</v>
      </c>
      <c r="D19" s="54">
        <v>3</v>
      </c>
      <c r="E19" s="65" t="s">
        <v>132</v>
      </c>
      <c r="F19" s="55">
        <v>32</v>
      </c>
      <c r="G19" s="53"/>
      <c r="H19" s="57"/>
      <c r="I19" s="56"/>
      <c r="J19" s="56"/>
      <c r="K19" s="36" t="s">
        <v>65</v>
      </c>
      <c r="L19" s="83">
        <v>19</v>
      </c>
      <c r="M19" s="83"/>
      <c r="N19" s="63"/>
      <c r="O19" s="86" t="s">
        <v>239</v>
      </c>
      <c r="P19" s="88">
        <v>43646.04204861111</v>
      </c>
      <c r="Q19" s="86" t="s">
        <v>244</v>
      </c>
      <c r="R19" s="86"/>
      <c r="S19" s="86"/>
      <c r="T19" s="86"/>
      <c r="U19" s="86"/>
      <c r="V19" s="89" t="s">
        <v>287</v>
      </c>
      <c r="W19" s="88">
        <v>43646.04204861111</v>
      </c>
      <c r="X19" s="89" t="s">
        <v>304</v>
      </c>
      <c r="Y19" s="86"/>
      <c r="Z19" s="86"/>
      <c r="AA19" s="92" t="s">
        <v>330</v>
      </c>
      <c r="AB19" s="86"/>
      <c r="AC19" s="86" t="b">
        <v>0</v>
      </c>
      <c r="AD19" s="86">
        <v>0</v>
      </c>
      <c r="AE19" s="92" t="s">
        <v>349</v>
      </c>
      <c r="AF19" s="86" t="b">
        <v>0</v>
      </c>
      <c r="AG19" s="86" t="s">
        <v>353</v>
      </c>
      <c r="AH19" s="86"/>
      <c r="AI19" s="92" t="s">
        <v>349</v>
      </c>
      <c r="AJ19" s="86" t="b">
        <v>0</v>
      </c>
      <c r="AK19" s="86">
        <v>7</v>
      </c>
      <c r="AL19" s="92" t="s">
        <v>333</v>
      </c>
      <c r="AM19" s="86" t="s">
        <v>359</v>
      </c>
      <c r="AN19" s="86" t="b">
        <v>0</v>
      </c>
      <c r="AO19" s="92" t="s">
        <v>333</v>
      </c>
      <c r="AP19" s="86" t="s">
        <v>176</v>
      </c>
      <c r="AQ19" s="86">
        <v>0</v>
      </c>
      <c r="AR19" s="86">
        <v>0</v>
      </c>
      <c r="AS19" s="86"/>
      <c r="AT19" s="86"/>
      <c r="AU19" s="86"/>
      <c r="AV19" s="86"/>
      <c r="AW19" s="86"/>
      <c r="AX19" s="86"/>
      <c r="AY19" s="86"/>
      <c r="AZ19" s="86"/>
      <c r="BA19">
        <v>1</v>
      </c>
      <c r="BB19" s="85" t="str">
        <f>REPLACE(INDEX(GroupVertices[Group],MATCH(Edges[[#This Row],[Vertex 1]],GroupVertices[Vertex],0)),1,1,"")</f>
        <v>1</v>
      </c>
      <c r="BC19" s="85" t="str">
        <f>REPLACE(INDEX(GroupVertices[Group],MATCH(Edges[[#This Row],[Vertex 2]],GroupVertices[Vertex],0)),1,1,"")</f>
        <v>1</v>
      </c>
      <c r="BD19" s="51">
        <v>0</v>
      </c>
      <c r="BE19" s="52">
        <v>0</v>
      </c>
      <c r="BF19" s="51">
        <v>0</v>
      </c>
      <c r="BG19" s="52">
        <v>0</v>
      </c>
      <c r="BH19" s="51">
        <v>0</v>
      </c>
      <c r="BI19" s="52">
        <v>0</v>
      </c>
      <c r="BJ19" s="51">
        <v>20</v>
      </c>
      <c r="BK19" s="52">
        <v>100</v>
      </c>
      <c r="BL19" s="51">
        <v>20</v>
      </c>
    </row>
    <row r="20" spans="1:64" ht="15">
      <c r="A20" s="84" t="s">
        <v>221</v>
      </c>
      <c r="B20" s="84" t="s">
        <v>234</v>
      </c>
      <c r="C20" s="53" t="s">
        <v>901</v>
      </c>
      <c r="D20" s="54">
        <v>3</v>
      </c>
      <c r="E20" s="65" t="s">
        <v>132</v>
      </c>
      <c r="F20" s="55">
        <v>32</v>
      </c>
      <c r="G20" s="53"/>
      <c r="H20" s="57"/>
      <c r="I20" s="56"/>
      <c r="J20" s="56"/>
      <c r="K20" s="36" t="s">
        <v>65</v>
      </c>
      <c r="L20" s="83">
        <v>20</v>
      </c>
      <c r="M20" s="83"/>
      <c r="N20" s="63"/>
      <c r="O20" s="86" t="s">
        <v>239</v>
      </c>
      <c r="P20" s="88">
        <v>43646.61243055556</v>
      </c>
      <c r="Q20" s="86" t="s">
        <v>244</v>
      </c>
      <c r="R20" s="86"/>
      <c r="S20" s="86"/>
      <c r="T20" s="86"/>
      <c r="U20" s="86"/>
      <c r="V20" s="89" t="s">
        <v>288</v>
      </c>
      <c r="W20" s="88">
        <v>43646.61243055556</v>
      </c>
      <c r="X20" s="89" t="s">
        <v>305</v>
      </c>
      <c r="Y20" s="86"/>
      <c r="Z20" s="86"/>
      <c r="AA20" s="92" t="s">
        <v>331</v>
      </c>
      <c r="AB20" s="86"/>
      <c r="AC20" s="86" t="b">
        <v>0</v>
      </c>
      <c r="AD20" s="86">
        <v>0</v>
      </c>
      <c r="AE20" s="92" t="s">
        <v>349</v>
      </c>
      <c r="AF20" s="86" t="b">
        <v>0</v>
      </c>
      <c r="AG20" s="86" t="s">
        <v>353</v>
      </c>
      <c r="AH20" s="86"/>
      <c r="AI20" s="92" t="s">
        <v>349</v>
      </c>
      <c r="AJ20" s="86" t="b">
        <v>0</v>
      </c>
      <c r="AK20" s="86">
        <v>7</v>
      </c>
      <c r="AL20" s="92" t="s">
        <v>333</v>
      </c>
      <c r="AM20" s="86" t="s">
        <v>359</v>
      </c>
      <c r="AN20" s="86" t="b">
        <v>0</v>
      </c>
      <c r="AO20" s="92" t="s">
        <v>333</v>
      </c>
      <c r="AP20" s="86" t="s">
        <v>176</v>
      </c>
      <c r="AQ20" s="86">
        <v>0</v>
      </c>
      <c r="AR20" s="86">
        <v>0</v>
      </c>
      <c r="AS20" s="86"/>
      <c r="AT20" s="86"/>
      <c r="AU20" s="86"/>
      <c r="AV20" s="86"/>
      <c r="AW20" s="86"/>
      <c r="AX20" s="86"/>
      <c r="AY20" s="86"/>
      <c r="AZ20" s="86"/>
      <c r="BA20">
        <v>1</v>
      </c>
      <c r="BB20" s="85" t="str">
        <f>REPLACE(INDEX(GroupVertices[Group],MATCH(Edges[[#This Row],[Vertex 1]],GroupVertices[Vertex],0)),1,1,"")</f>
        <v>1</v>
      </c>
      <c r="BC20" s="85" t="str">
        <f>REPLACE(INDEX(GroupVertices[Group],MATCH(Edges[[#This Row],[Vertex 2]],GroupVertices[Vertex],0)),1,1,"")</f>
        <v>1</v>
      </c>
      <c r="BD20" s="51"/>
      <c r="BE20" s="52"/>
      <c r="BF20" s="51"/>
      <c r="BG20" s="52"/>
      <c r="BH20" s="51"/>
      <c r="BI20" s="52"/>
      <c r="BJ20" s="51"/>
      <c r="BK20" s="52"/>
      <c r="BL20" s="51"/>
    </row>
    <row r="21" spans="1:64" ht="15">
      <c r="A21" s="84" t="s">
        <v>221</v>
      </c>
      <c r="B21" s="84" t="s">
        <v>223</v>
      </c>
      <c r="C21" s="53" t="s">
        <v>901</v>
      </c>
      <c r="D21" s="54">
        <v>3</v>
      </c>
      <c r="E21" s="65" t="s">
        <v>132</v>
      </c>
      <c r="F21" s="55">
        <v>32</v>
      </c>
      <c r="G21" s="53"/>
      <c r="H21" s="57"/>
      <c r="I21" s="56"/>
      <c r="J21" s="56"/>
      <c r="K21" s="36" t="s">
        <v>65</v>
      </c>
      <c r="L21" s="83">
        <v>21</v>
      </c>
      <c r="M21" s="83"/>
      <c r="N21" s="63"/>
      <c r="O21" s="86" t="s">
        <v>239</v>
      </c>
      <c r="P21" s="88">
        <v>43646.61243055556</v>
      </c>
      <c r="Q21" s="86" t="s">
        <v>244</v>
      </c>
      <c r="R21" s="86"/>
      <c r="S21" s="86"/>
      <c r="T21" s="86"/>
      <c r="U21" s="86"/>
      <c r="V21" s="89" t="s">
        <v>288</v>
      </c>
      <c r="W21" s="88">
        <v>43646.61243055556</v>
      </c>
      <c r="X21" s="89" t="s">
        <v>305</v>
      </c>
      <c r="Y21" s="86"/>
      <c r="Z21" s="86"/>
      <c r="AA21" s="92" t="s">
        <v>331</v>
      </c>
      <c r="AB21" s="86"/>
      <c r="AC21" s="86" t="b">
        <v>0</v>
      </c>
      <c r="AD21" s="86">
        <v>0</v>
      </c>
      <c r="AE21" s="92" t="s">
        <v>349</v>
      </c>
      <c r="AF21" s="86" t="b">
        <v>0</v>
      </c>
      <c r="AG21" s="86" t="s">
        <v>353</v>
      </c>
      <c r="AH21" s="86"/>
      <c r="AI21" s="92" t="s">
        <v>349</v>
      </c>
      <c r="AJ21" s="86" t="b">
        <v>0</v>
      </c>
      <c r="AK21" s="86">
        <v>7</v>
      </c>
      <c r="AL21" s="92" t="s">
        <v>333</v>
      </c>
      <c r="AM21" s="86" t="s">
        <v>359</v>
      </c>
      <c r="AN21" s="86" t="b">
        <v>0</v>
      </c>
      <c r="AO21" s="92" t="s">
        <v>333</v>
      </c>
      <c r="AP21" s="86" t="s">
        <v>176</v>
      </c>
      <c r="AQ21" s="86">
        <v>0</v>
      </c>
      <c r="AR21" s="86">
        <v>0</v>
      </c>
      <c r="AS21" s="86"/>
      <c r="AT21" s="86"/>
      <c r="AU21" s="86"/>
      <c r="AV21" s="86"/>
      <c r="AW21" s="86"/>
      <c r="AX21" s="86"/>
      <c r="AY21" s="86"/>
      <c r="AZ21" s="86"/>
      <c r="BA21">
        <v>1</v>
      </c>
      <c r="BB21" s="85" t="str">
        <f>REPLACE(INDEX(GroupVertices[Group],MATCH(Edges[[#This Row],[Vertex 1]],GroupVertices[Vertex],0)),1,1,"")</f>
        <v>1</v>
      </c>
      <c r="BC21" s="85" t="str">
        <f>REPLACE(INDEX(GroupVertices[Group],MATCH(Edges[[#This Row],[Vertex 2]],GroupVertices[Vertex],0)),1,1,"")</f>
        <v>1</v>
      </c>
      <c r="BD21" s="51">
        <v>0</v>
      </c>
      <c r="BE21" s="52">
        <v>0</v>
      </c>
      <c r="BF21" s="51">
        <v>0</v>
      </c>
      <c r="BG21" s="52">
        <v>0</v>
      </c>
      <c r="BH21" s="51">
        <v>0</v>
      </c>
      <c r="BI21" s="52">
        <v>0</v>
      </c>
      <c r="BJ21" s="51">
        <v>20</v>
      </c>
      <c r="BK21" s="52">
        <v>100</v>
      </c>
      <c r="BL21" s="51">
        <v>20</v>
      </c>
    </row>
    <row r="22" spans="1:64" ht="15">
      <c r="A22" s="84" t="s">
        <v>222</v>
      </c>
      <c r="B22" s="84" t="s">
        <v>234</v>
      </c>
      <c r="C22" s="53" t="s">
        <v>901</v>
      </c>
      <c r="D22" s="54">
        <v>3</v>
      </c>
      <c r="E22" s="65" t="s">
        <v>132</v>
      </c>
      <c r="F22" s="55">
        <v>32</v>
      </c>
      <c r="G22" s="53"/>
      <c r="H22" s="57"/>
      <c r="I22" s="56"/>
      <c r="J22" s="56"/>
      <c r="K22" s="36" t="s">
        <v>65</v>
      </c>
      <c r="L22" s="83">
        <v>22</v>
      </c>
      <c r="M22" s="83"/>
      <c r="N22" s="63"/>
      <c r="O22" s="86" t="s">
        <v>239</v>
      </c>
      <c r="P22" s="88">
        <v>43646.66271990741</v>
      </c>
      <c r="Q22" s="86" t="s">
        <v>244</v>
      </c>
      <c r="R22" s="86"/>
      <c r="S22" s="86"/>
      <c r="T22" s="86"/>
      <c r="U22" s="86"/>
      <c r="V22" s="89" t="s">
        <v>289</v>
      </c>
      <c r="W22" s="88">
        <v>43646.66271990741</v>
      </c>
      <c r="X22" s="89" t="s">
        <v>306</v>
      </c>
      <c r="Y22" s="86"/>
      <c r="Z22" s="86"/>
      <c r="AA22" s="92" t="s">
        <v>332</v>
      </c>
      <c r="AB22" s="86"/>
      <c r="AC22" s="86" t="b">
        <v>0</v>
      </c>
      <c r="AD22" s="86">
        <v>0</v>
      </c>
      <c r="AE22" s="92" t="s">
        <v>349</v>
      </c>
      <c r="AF22" s="86" t="b">
        <v>0</v>
      </c>
      <c r="AG22" s="86" t="s">
        <v>353</v>
      </c>
      <c r="AH22" s="86"/>
      <c r="AI22" s="92" t="s">
        <v>349</v>
      </c>
      <c r="AJ22" s="86" t="b">
        <v>0</v>
      </c>
      <c r="AK22" s="86">
        <v>7</v>
      </c>
      <c r="AL22" s="92" t="s">
        <v>333</v>
      </c>
      <c r="AM22" s="86" t="s">
        <v>356</v>
      </c>
      <c r="AN22" s="86" t="b">
        <v>0</v>
      </c>
      <c r="AO22" s="92" t="s">
        <v>333</v>
      </c>
      <c r="AP22" s="86" t="s">
        <v>176</v>
      </c>
      <c r="AQ22" s="86">
        <v>0</v>
      </c>
      <c r="AR22" s="86">
        <v>0</v>
      </c>
      <c r="AS22" s="86"/>
      <c r="AT22" s="86"/>
      <c r="AU22" s="86"/>
      <c r="AV22" s="86"/>
      <c r="AW22" s="86"/>
      <c r="AX22" s="86"/>
      <c r="AY22" s="86"/>
      <c r="AZ22" s="86"/>
      <c r="BA22">
        <v>1</v>
      </c>
      <c r="BB22" s="85" t="str">
        <f>REPLACE(INDEX(GroupVertices[Group],MATCH(Edges[[#This Row],[Vertex 1]],GroupVertices[Vertex],0)),1,1,"")</f>
        <v>1</v>
      </c>
      <c r="BC22" s="85" t="str">
        <f>REPLACE(INDEX(GroupVertices[Group],MATCH(Edges[[#This Row],[Vertex 2]],GroupVertices[Vertex],0)),1,1,"")</f>
        <v>1</v>
      </c>
      <c r="BD22" s="51"/>
      <c r="BE22" s="52"/>
      <c r="BF22" s="51"/>
      <c r="BG22" s="52"/>
      <c r="BH22" s="51"/>
      <c r="BI22" s="52"/>
      <c r="BJ22" s="51"/>
      <c r="BK22" s="52"/>
      <c r="BL22" s="51"/>
    </row>
    <row r="23" spans="1:64" ht="15">
      <c r="A23" s="84" t="s">
        <v>222</v>
      </c>
      <c r="B23" s="84" t="s">
        <v>223</v>
      </c>
      <c r="C23" s="53" t="s">
        <v>901</v>
      </c>
      <c r="D23" s="54">
        <v>3</v>
      </c>
      <c r="E23" s="65" t="s">
        <v>132</v>
      </c>
      <c r="F23" s="55">
        <v>32</v>
      </c>
      <c r="G23" s="53"/>
      <c r="H23" s="57"/>
      <c r="I23" s="56"/>
      <c r="J23" s="56"/>
      <c r="K23" s="36" t="s">
        <v>65</v>
      </c>
      <c r="L23" s="83">
        <v>23</v>
      </c>
      <c r="M23" s="83"/>
      <c r="N23" s="63"/>
      <c r="O23" s="86" t="s">
        <v>239</v>
      </c>
      <c r="P23" s="88">
        <v>43646.66271990741</v>
      </c>
      <c r="Q23" s="86" t="s">
        <v>244</v>
      </c>
      <c r="R23" s="86"/>
      <c r="S23" s="86"/>
      <c r="T23" s="86"/>
      <c r="U23" s="86"/>
      <c r="V23" s="89" t="s">
        <v>289</v>
      </c>
      <c r="W23" s="88">
        <v>43646.66271990741</v>
      </c>
      <c r="X23" s="89" t="s">
        <v>306</v>
      </c>
      <c r="Y23" s="86"/>
      <c r="Z23" s="86"/>
      <c r="AA23" s="92" t="s">
        <v>332</v>
      </c>
      <c r="AB23" s="86"/>
      <c r="AC23" s="86" t="b">
        <v>0</v>
      </c>
      <c r="AD23" s="86">
        <v>0</v>
      </c>
      <c r="AE23" s="92" t="s">
        <v>349</v>
      </c>
      <c r="AF23" s="86" t="b">
        <v>0</v>
      </c>
      <c r="AG23" s="86" t="s">
        <v>353</v>
      </c>
      <c r="AH23" s="86"/>
      <c r="AI23" s="92" t="s">
        <v>349</v>
      </c>
      <c r="AJ23" s="86" t="b">
        <v>0</v>
      </c>
      <c r="AK23" s="86">
        <v>7</v>
      </c>
      <c r="AL23" s="92" t="s">
        <v>333</v>
      </c>
      <c r="AM23" s="86" t="s">
        <v>356</v>
      </c>
      <c r="AN23" s="86" t="b">
        <v>0</v>
      </c>
      <c r="AO23" s="92" t="s">
        <v>333</v>
      </c>
      <c r="AP23" s="86" t="s">
        <v>176</v>
      </c>
      <c r="AQ23" s="86">
        <v>0</v>
      </c>
      <c r="AR23" s="86">
        <v>0</v>
      </c>
      <c r="AS23" s="86"/>
      <c r="AT23" s="86"/>
      <c r="AU23" s="86"/>
      <c r="AV23" s="86"/>
      <c r="AW23" s="86"/>
      <c r="AX23" s="86"/>
      <c r="AY23" s="86"/>
      <c r="AZ23" s="86"/>
      <c r="BA23">
        <v>1</v>
      </c>
      <c r="BB23" s="85" t="str">
        <f>REPLACE(INDEX(GroupVertices[Group],MATCH(Edges[[#This Row],[Vertex 1]],GroupVertices[Vertex],0)),1,1,"")</f>
        <v>1</v>
      </c>
      <c r="BC23" s="85" t="str">
        <f>REPLACE(INDEX(GroupVertices[Group],MATCH(Edges[[#This Row],[Vertex 2]],GroupVertices[Vertex],0)),1,1,"")</f>
        <v>1</v>
      </c>
      <c r="BD23" s="51">
        <v>0</v>
      </c>
      <c r="BE23" s="52">
        <v>0</v>
      </c>
      <c r="BF23" s="51">
        <v>0</v>
      </c>
      <c r="BG23" s="52">
        <v>0</v>
      </c>
      <c r="BH23" s="51">
        <v>0</v>
      </c>
      <c r="BI23" s="52">
        <v>0</v>
      </c>
      <c r="BJ23" s="51">
        <v>20</v>
      </c>
      <c r="BK23" s="52">
        <v>100</v>
      </c>
      <c r="BL23" s="51">
        <v>20</v>
      </c>
    </row>
    <row r="24" spans="1:64" ht="15">
      <c r="A24" s="84" t="s">
        <v>223</v>
      </c>
      <c r="B24" s="84" t="s">
        <v>234</v>
      </c>
      <c r="C24" s="53" t="s">
        <v>901</v>
      </c>
      <c r="D24" s="54">
        <v>3</v>
      </c>
      <c r="E24" s="65" t="s">
        <v>132</v>
      </c>
      <c r="F24" s="55">
        <v>32</v>
      </c>
      <c r="G24" s="53"/>
      <c r="H24" s="57"/>
      <c r="I24" s="56"/>
      <c r="J24" s="56"/>
      <c r="K24" s="36" t="s">
        <v>65</v>
      </c>
      <c r="L24" s="83">
        <v>24</v>
      </c>
      <c r="M24" s="83"/>
      <c r="N24" s="63"/>
      <c r="O24" s="86" t="s">
        <v>239</v>
      </c>
      <c r="P24" s="88">
        <v>43645.70774305556</v>
      </c>
      <c r="Q24" s="86" t="s">
        <v>245</v>
      </c>
      <c r="R24" s="86"/>
      <c r="S24" s="86"/>
      <c r="T24" s="86"/>
      <c r="U24" s="86"/>
      <c r="V24" s="89" t="s">
        <v>290</v>
      </c>
      <c r="W24" s="88">
        <v>43645.70774305556</v>
      </c>
      <c r="X24" s="89" t="s">
        <v>307</v>
      </c>
      <c r="Y24" s="86"/>
      <c r="Z24" s="86"/>
      <c r="AA24" s="92" t="s">
        <v>333</v>
      </c>
      <c r="AB24" s="86"/>
      <c r="AC24" s="86" t="b">
        <v>0</v>
      </c>
      <c r="AD24" s="86">
        <v>27</v>
      </c>
      <c r="AE24" s="92" t="s">
        <v>349</v>
      </c>
      <c r="AF24" s="86" t="b">
        <v>0</v>
      </c>
      <c r="AG24" s="86" t="s">
        <v>353</v>
      </c>
      <c r="AH24" s="86"/>
      <c r="AI24" s="92" t="s">
        <v>349</v>
      </c>
      <c r="AJ24" s="86" t="b">
        <v>0</v>
      </c>
      <c r="AK24" s="86">
        <v>7</v>
      </c>
      <c r="AL24" s="92" t="s">
        <v>349</v>
      </c>
      <c r="AM24" s="86" t="s">
        <v>358</v>
      </c>
      <c r="AN24" s="86" t="b">
        <v>0</v>
      </c>
      <c r="AO24" s="92" t="s">
        <v>333</v>
      </c>
      <c r="AP24" s="86" t="s">
        <v>176</v>
      </c>
      <c r="AQ24" s="86">
        <v>0</v>
      </c>
      <c r="AR24" s="86">
        <v>0</v>
      </c>
      <c r="AS24" s="86"/>
      <c r="AT24" s="86"/>
      <c r="AU24" s="86"/>
      <c r="AV24" s="86"/>
      <c r="AW24" s="86"/>
      <c r="AX24" s="86"/>
      <c r="AY24" s="86"/>
      <c r="AZ24" s="86"/>
      <c r="BA24">
        <v>1</v>
      </c>
      <c r="BB24" s="85" t="str">
        <f>REPLACE(INDEX(GroupVertices[Group],MATCH(Edges[[#This Row],[Vertex 1]],GroupVertices[Vertex],0)),1,1,"")</f>
        <v>1</v>
      </c>
      <c r="BC24" s="85" t="str">
        <f>REPLACE(INDEX(GroupVertices[Group],MATCH(Edges[[#This Row],[Vertex 2]],GroupVertices[Vertex],0)),1,1,"")</f>
        <v>1</v>
      </c>
      <c r="BD24" s="51">
        <v>0</v>
      </c>
      <c r="BE24" s="52">
        <v>0</v>
      </c>
      <c r="BF24" s="51">
        <v>0</v>
      </c>
      <c r="BG24" s="52">
        <v>0</v>
      </c>
      <c r="BH24" s="51">
        <v>0</v>
      </c>
      <c r="BI24" s="52">
        <v>0</v>
      </c>
      <c r="BJ24" s="51">
        <v>26</v>
      </c>
      <c r="BK24" s="52">
        <v>100</v>
      </c>
      <c r="BL24" s="51">
        <v>26</v>
      </c>
    </row>
    <row r="25" spans="1:64" ht="15">
      <c r="A25" s="84" t="s">
        <v>224</v>
      </c>
      <c r="B25" s="84" t="s">
        <v>234</v>
      </c>
      <c r="C25" s="53" t="s">
        <v>901</v>
      </c>
      <c r="D25" s="54">
        <v>3</v>
      </c>
      <c r="E25" s="65" t="s">
        <v>132</v>
      </c>
      <c r="F25" s="55">
        <v>32</v>
      </c>
      <c r="G25" s="53"/>
      <c r="H25" s="57"/>
      <c r="I25" s="56"/>
      <c r="J25" s="56"/>
      <c r="K25" s="36" t="s">
        <v>65</v>
      </c>
      <c r="L25" s="83">
        <v>25</v>
      </c>
      <c r="M25" s="83"/>
      <c r="N25" s="63"/>
      <c r="O25" s="86" t="s">
        <v>239</v>
      </c>
      <c r="P25" s="88">
        <v>43646.713425925926</v>
      </c>
      <c r="Q25" s="86" t="s">
        <v>244</v>
      </c>
      <c r="R25" s="86"/>
      <c r="S25" s="86"/>
      <c r="T25" s="86"/>
      <c r="U25" s="86"/>
      <c r="V25" s="89" t="s">
        <v>291</v>
      </c>
      <c r="W25" s="88">
        <v>43646.713425925926</v>
      </c>
      <c r="X25" s="89" t="s">
        <v>308</v>
      </c>
      <c r="Y25" s="86"/>
      <c r="Z25" s="86"/>
      <c r="AA25" s="92" t="s">
        <v>334</v>
      </c>
      <c r="AB25" s="86"/>
      <c r="AC25" s="86" t="b">
        <v>0</v>
      </c>
      <c r="AD25" s="86">
        <v>0</v>
      </c>
      <c r="AE25" s="92" t="s">
        <v>349</v>
      </c>
      <c r="AF25" s="86" t="b">
        <v>0</v>
      </c>
      <c r="AG25" s="86" t="s">
        <v>353</v>
      </c>
      <c r="AH25" s="86"/>
      <c r="AI25" s="92" t="s">
        <v>349</v>
      </c>
      <c r="AJ25" s="86" t="b">
        <v>0</v>
      </c>
      <c r="AK25" s="86">
        <v>7</v>
      </c>
      <c r="AL25" s="92" t="s">
        <v>333</v>
      </c>
      <c r="AM25" s="86" t="s">
        <v>356</v>
      </c>
      <c r="AN25" s="86" t="b">
        <v>0</v>
      </c>
      <c r="AO25" s="92" t="s">
        <v>333</v>
      </c>
      <c r="AP25" s="86" t="s">
        <v>176</v>
      </c>
      <c r="AQ25" s="86">
        <v>0</v>
      </c>
      <c r="AR25" s="86">
        <v>0</v>
      </c>
      <c r="AS25" s="86"/>
      <c r="AT25" s="86"/>
      <c r="AU25" s="86"/>
      <c r="AV25" s="86"/>
      <c r="AW25" s="86"/>
      <c r="AX25" s="86"/>
      <c r="AY25" s="86"/>
      <c r="AZ25" s="86"/>
      <c r="BA25">
        <v>1</v>
      </c>
      <c r="BB25" s="85" t="str">
        <f>REPLACE(INDEX(GroupVertices[Group],MATCH(Edges[[#This Row],[Vertex 1]],GroupVertices[Vertex],0)),1,1,"")</f>
        <v>1</v>
      </c>
      <c r="BC25" s="85" t="str">
        <f>REPLACE(INDEX(GroupVertices[Group],MATCH(Edges[[#This Row],[Vertex 2]],GroupVertices[Vertex],0)),1,1,"")</f>
        <v>1</v>
      </c>
      <c r="BD25" s="51"/>
      <c r="BE25" s="52"/>
      <c r="BF25" s="51"/>
      <c r="BG25" s="52"/>
      <c r="BH25" s="51"/>
      <c r="BI25" s="52"/>
      <c r="BJ25" s="51"/>
      <c r="BK25" s="52"/>
      <c r="BL25" s="51"/>
    </row>
    <row r="26" spans="1:64" ht="15">
      <c r="A26" s="84" t="s">
        <v>224</v>
      </c>
      <c r="B26" s="84" t="s">
        <v>223</v>
      </c>
      <c r="C26" s="53" t="s">
        <v>901</v>
      </c>
      <c r="D26" s="54">
        <v>3</v>
      </c>
      <c r="E26" s="65" t="s">
        <v>132</v>
      </c>
      <c r="F26" s="55">
        <v>32</v>
      </c>
      <c r="G26" s="53"/>
      <c r="H26" s="57"/>
      <c r="I26" s="56"/>
      <c r="J26" s="56"/>
      <c r="K26" s="36" t="s">
        <v>65</v>
      </c>
      <c r="L26" s="83">
        <v>26</v>
      </c>
      <c r="M26" s="83"/>
      <c r="N26" s="63"/>
      <c r="O26" s="86" t="s">
        <v>239</v>
      </c>
      <c r="P26" s="88">
        <v>43646.713425925926</v>
      </c>
      <c r="Q26" s="86" t="s">
        <v>244</v>
      </c>
      <c r="R26" s="86"/>
      <c r="S26" s="86"/>
      <c r="T26" s="86"/>
      <c r="U26" s="86"/>
      <c r="V26" s="89" t="s">
        <v>291</v>
      </c>
      <c r="W26" s="88">
        <v>43646.713425925926</v>
      </c>
      <c r="X26" s="89" t="s">
        <v>308</v>
      </c>
      <c r="Y26" s="86"/>
      <c r="Z26" s="86"/>
      <c r="AA26" s="92" t="s">
        <v>334</v>
      </c>
      <c r="AB26" s="86"/>
      <c r="AC26" s="86" t="b">
        <v>0</v>
      </c>
      <c r="AD26" s="86">
        <v>0</v>
      </c>
      <c r="AE26" s="92" t="s">
        <v>349</v>
      </c>
      <c r="AF26" s="86" t="b">
        <v>0</v>
      </c>
      <c r="AG26" s="86" t="s">
        <v>353</v>
      </c>
      <c r="AH26" s="86"/>
      <c r="AI26" s="92" t="s">
        <v>349</v>
      </c>
      <c r="AJ26" s="86" t="b">
        <v>0</v>
      </c>
      <c r="AK26" s="86">
        <v>7</v>
      </c>
      <c r="AL26" s="92" t="s">
        <v>333</v>
      </c>
      <c r="AM26" s="86" t="s">
        <v>356</v>
      </c>
      <c r="AN26" s="86" t="b">
        <v>0</v>
      </c>
      <c r="AO26" s="92" t="s">
        <v>333</v>
      </c>
      <c r="AP26" s="86" t="s">
        <v>176</v>
      </c>
      <c r="AQ26" s="86">
        <v>0</v>
      </c>
      <c r="AR26" s="86">
        <v>0</v>
      </c>
      <c r="AS26" s="86"/>
      <c r="AT26" s="86"/>
      <c r="AU26" s="86"/>
      <c r="AV26" s="86"/>
      <c r="AW26" s="86"/>
      <c r="AX26" s="86"/>
      <c r="AY26" s="86"/>
      <c r="AZ26" s="86"/>
      <c r="BA26">
        <v>1</v>
      </c>
      <c r="BB26" s="85" t="str">
        <f>REPLACE(INDEX(GroupVertices[Group],MATCH(Edges[[#This Row],[Vertex 1]],GroupVertices[Vertex],0)),1,1,"")</f>
        <v>1</v>
      </c>
      <c r="BC26" s="85" t="str">
        <f>REPLACE(INDEX(GroupVertices[Group],MATCH(Edges[[#This Row],[Vertex 2]],GroupVertices[Vertex],0)),1,1,"")</f>
        <v>1</v>
      </c>
      <c r="BD26" s="51">
        <v>0</v>
      </c>
      <c r="BE26" s="52">
        <v>0</v>
      </c>
      <c r="BF26" s="51">
        <v>0</v>
      </c>
      <c r="BG26" s="52">
        <v>0</v>
      </c>
      <c r="BH26" s="51">
        <v>0</v>
      </c>
      <c r="BI26" s="52">
        <v>0</v>
      </c>
      <c r="BJ26" s="51">
        <v>20</v>
      </c>
      <c r="BK26" s="52">
        <v>100</v>
      </c>
      <c r="BL26" s="51">
        <v>20</v>
      </c>
    </row>
    <row r="27" spans="1:64" ht="15">
      <c r="A27" s="84" t="s">
        <v>225</v>
      </c>
      <c r="B27" s="84" t="s">
        <v>232</v>
      </c>
      <c r="C27" s="53" t="s">
        <v>901</v>
      </c>
      <c r="D27" s="54">
        <v>3</v>
      </c>
      <c r="E27" s="65" t="s">
        <v>132</v>
      </c>
      <c r="F27" s="55">
        <v>32</v>
      </c>
      <c r="G27" s="53"/>
      <c r="H27" s="57"/>
      <c r="I27" s="56"/>
      <c r="J27" s="56"/>
      <c r="K27" s="36" t="s">
        <v>65</v>
      </c>
      <c r="L27" s="83">
        <v>27</v>
      </c>
      <c r="M27" s="83"/>
      <c r="N27" s="63"/>
      <c r="O27" s="86" t="s">
        <v>239</v>
      </c>
      <c r="P27" s="88">
        <v>43640.636875</v>
      </c>
      <c r="Q27" s="86" t="s">
        <v>246</v>
      </c>
      <c r="R27" s="89" t="s">
        <v>259</v>
      </c>
      <c r="S27" s="86" t="s">
        <v>264</v>
      </c>
      <c r="T27" s="86" t="s">
        <v>270</v>
      </c>
      <c r="U27" s="86"/>
      <c r="V27" s="89" t="s">
        <v>292</v>
      </c>
      <c r="W27" s="88">
        <v>43640.636875</v>
      </c>
      <c r="X27" s="89" t="s">
        <v>309</v>
      </c>
      <c r="Y27" s="86"/>
      <c r="Z27" s="86"/>
      <c r="AA27" s="92" t="s">
        <v>335</v>
      </c>
      <c r="AB27" s="86"/>
      <c r="AC27" s="86" t="b">
        <v>0</v>
      </c>
      <c r="AD27" s="86">
        <v>3</v>
      </c>
      <c r="AE27" s="92" t="s">
        <v>349</v>
      </c>
      <c r="AF27" s="86" t="b">
        <v>0</v>
      </c>
      <c r="AG27" s="86" t="s">
        <v>352</v>
      </c>
      <c r="AH27" s="86"/>
      <c r="AI27" s="92" t="s">
        <v>349</v>
      </c>
      <c r="AJ27" s="86" t="b">
        <v>0</v>
      </c>
      <c r="AK27" s="86">
        <v>1</v>
      </c>
      <c r="AL27" s="92" t="s">
        <v>349</v>
      </c>
      <c r="AM27" s="86" t="s">
        <v>358</v>
      </c>
      <c r="AN27" s="86" t="b">
        <v>0</v>
      </c>
      <c r="AO27" s="92" t="s">
        <v>335</v>
      </c>
      <c r="AP27" s="86" t="s">
        <v>176</v>
      </c>
      <c r="AQ27" s="86">
        <v>0</v>
      </c>
      <c r="AR27" s="86">
        <v>0</v>
      </c>
      <c r="AS27" s="86"/>
      <c r="AT27" s="86"/>
      <c r="AU27" s="86"/>
      <c r="AV27" s="86"/>
      <c r="AW27" s="86"/>
      <c r="AX27" s="86"/>
      <c r="AY27" s="86"/>
      <c r="AZ27" s="86"/>
      <c r="BA27">
        <v>1</v>
      </c>
      <c r="BB27" s="85" t="str">
        <f>REPLACE(INDEX(GroupVertices[Group],MATCH(Edges[[#This Row],[Vertex 1]],GroupVertices[Vertex],0)),1,1,"")</f>
        <v>2</v>
      </c>
      <c r="BC27" s="85" t="str">
        <f>REPLACE(INDEX(GroupVertices[Group],MATCH(Edges[[#This Row],[Vertex 2]],GroupVertices[Vertex],0)),1,1,"")</f>
        <v>2</v>
      </c>
      <c r="BD27" s="51">
        <v>0</v>
      </c>
      <c r="BE27" s="52">
        <v>0</v>
      </c>
      <c r="BF27" s="51">
        <v>1</v>
      </c>
      <c r="BG27" s="52">
        <v>2.4390243902439024</v>
      </c>
      <c r="BH27" s="51">
        <v>0</v>
      </c>
      <c r="BI27" s="52">
        <v>0</v>
      </c>
      <c r="BJ27" s="51">
        <v>40</v>
      </c>
      <c r="BK27" s="52">
        <v>97.5609756097561</v>
      </c>
      <c r="BL27" s="51">
        <v>41</v>
      </c>
    </row>
    <row r="28" spans="1:64" ht="15">
      <c r="A28" s="84" t="s">
        <v>225</v>
      </c>
      <c r="B28" s="84" t="s">
        <v>235</v>
      </c>
      <c r="C28" s="53" t="s">
        <v>901</v>
      </c>
      <c r="D28" s="54">
        <v>3</v>
      </c>
      <c r="E28" s="65" t="s">
        <v>132</v>
      </c>
      <c r="F28" s="55">
        <v>32</v>
      </c>
      <c r="G28" s="53"/>
      <c r="H28" s="57"/>
      <c r="I28" s="56"/>
      <c r="J28" s="56"/>
      <c r="K28" s="36" t="s">
        <v>65</v>
      </c>
      <c r="L28" s="83">
        <v>28</v>
      </c>
      <c r="M28" s="83"/>
      <c r="N28" s="63"/>
      <c r="O28" s="86" t="s">
        <v>239</v>
      </c>
      <c r="P28" s="88">
        <v>43646.908217592594</v>
      </c>
      <c r="Q28" s="86" t="s">
        <v>247</v>
      </c>
      <c r="R28" s="86"/>
      <c r="S28" s="86"/>
      <c r="T28" s="86"/>
      <c r="U28" s="86"/>
      <c r="V28" s="89" t="s">
        <v>292</v>
      </c>
      <c r="W28" s="88">
        <v>43646.908217592594</v>
      </c>
      <c r="X28" s="89" t="s">
        <v>310</v>
      </c>
      <c r="Y28" s="86"/>
      <c r="Z28" s="86"/>
      <c r="AA28" s="92" t="s">
        <v>336</v>
      </c>
      <c r="AB28" s="92" t="s">
        <v>348</v>
      </c>
      <c r="AC28" s="86" t="b">
        <v>0</v>
      </c>
      <c r="AD28" s="86">
        <v>0</v>
      </c>
      <c r="AE28" s="92" t="s">
        <v>350</v>
      </c>
      <c r="AF28" s="86" t="b">
        <v>0</v>
      </c>
      <c r="AG28" s="86" t="s">
        <v>352</v>
      </c>
      <c r="AH28" s="86"/>
      <c r="AI28" s="92" t="s">
        <v>349</v>
      </c>
      <c r="AJ28" s="86" t="b">
        <v>0</v>
      </c>
      <c r="AK28" s="86">
        <v>0</v>
      </c>
      <c r="AL28" s="92" t="s">
        <v>349</v>
      </c>
      <c r="AM28" s="86" t="s">
        <v>359</v>
      </c>
      <c r="AN28" s="86" t="b">
        <v>0</v>
      </c>
      <c r="AO28" s="92" t="s">
        <v>348</v>
      </c>
      <c r="AP28" s="86" t="s">
        <v>176</v>
      </c>
      <c r="AQ28" s="86">
        <v>0</v>
      </c>
      <c r="AR28" s="86">
        <v>0</v>
      </c>
      <c r="AS28" s="86"/>
      <c r="AT28" s="86"/>
      <c r="AU28" s="86"/>
      <c r="AV28" s="86"/>
      <c r="AW28" s="86"/>
      <c r="AX28" s="86"/>
      <c r="AY28" s="86"/>
      <c r="AZ28" s="86"/>
      <c r="BA28">
        <v>1</v>
      </c>
      <c r="BB28" s="85" t="str">
        <f>REPLACE(INDEX(GroupVertices[Group],MATCH(Edges[[#This Row],[Vertex 1]],GroupVertices[Vertex],0)),1,1,"")</f>
        <v>2</v>
      </c>
      <c r="BC28" s="85" t="str">
        <f>REPLACE(INDEX(GroupVertices[Group],MATCH(Edges[[#This Row],[Vertex 2]],GroupVertices[Vertex],0)),1,1,"")</f>
        <v>2</v>
      </c>
      <c r="BD28" s="51"/>
      <c r="BE28" s="52"/>
      <c r="BF28" s="51"/>
      <c r="BG28" s="52"/>
      <c r="BH28" s="51"/>
      <c r="BI28" s="52"/>
      <c r="BJ28" s="51"/>
      <c r="BK28" s="52"/>
      <c r="BL28" s="51"/>
    </row>
    <row r="29" spans="1:64" ht="15">
      <c r="A29" s="84" t="s">
        <v>226</v>
      </c>
      <c r="B29" s="84" t="s">
        <v>235</v>
      </c>
      <c r="C29" s="53" t="s">
        <v>901</v>
      </c>
      <c r="D29" s="54">
        <v>3</v>
      </c>
      <c r="E29" s="65" t="s">
        <v>132</v>
      </c>
      <c r="F29" s="55">
        <v>32</v>
      </c>
      <c r="G29" s="53"/>
      <c r="H29" s="57"/>
      <c r="I29" s="56"/>
      <c r="J29" s="56"/>
      <c r="K29" s="36" t="s">
        <v>65</v>
      </c>
      <c r="L29" s="83">
        <v>29</v>
      </c>
      <c r="M29" s="83"/>
      <c r="N29" s="63"/>
      <c r="O29" s="86" t="s">
        <v>239</v>
      </c>
      <c r="P29" s="88">
        <v>43646.94797453703</v>
      </c>
      <c r="Q29" s="86" t="s">
        <v>248</v>
      </c>
      <c r="R29" s="86"/>
      <c r="S29" s="86"/>
      <c r="T29" s="86"/>
      <c r="U29" s="86"/>
      <c r="V29" s="89" t="s">
        <v>293</v>
      </c>
      <c r="W29" s="88">
        <v>43646.94797453703</v>
      </c>
      <c r="X29" s="89" t="s">
        <v>311</v>
      </c>
      <c r="Y29" s="86"/>
      <c r="Z29" s="86"/>
      <c r="AA29" s="92" t="s">
        <v>337</v>
      </c>
      <c r="AB29" s="92" t="s">
        <v>336</v>
      </c>
      <c r="AC29" s="86" t="b">
        <v>0</v>
      </c>
      <c r="AD29" s="86">
        <v>1</v>
      </c>
      <c r="AE29" s="92" t="s">
        <v>351</v>
      </c>
      <c r="AF29" s="86" t="b">
        <v>0</v>
      </c>
      <c r="AG29" s="86" t="s">
        <v>352</v>
      </c>
      <c r="AH29" s="86"/>
      <c r="AI29" s="92" t="s">
        <v>349</v>
      </c>
      <c r="AJ29" s="86" t="b">
        <v>0</v>
      </c>
      <c r="AK29" s="86">
        <v>0</v>
      </c>
      <c r="AL29" s="92" t="s">
        <v>349</v>
      </c>
      <c r="AM29" s="86" t="s">
        <v>359</v>
      </c>
      <c r="AN29" s="86" t="b">
        <v>0</v>
      </c>
      <c r="AO29" s="92" t="s">
        <v>336</v>
      </c>
      <c r="AP29" s="86" t="s">
        <v>176</v>
      </c>
      <c r="AQ29" s="86">
        <v>0</v>
      </c>
      <c r="AR29" s="86">
        <v>0</v>
      </c>
      <c r="AS29" s="86"/>
      <c r="AT29" s="86"/>
      <c r="AU29" s="86"/>
      <c r="AV29" s="86"/>
      <c r="AW29" s="86"/>
      <c r="AX29" s="86"/>
      <c r="AY29" s="86"/>
      <c r="AZ29" s="86"/>
      <c r="BA29">
        <v>1</v>
      </c>
      <c r="BB29" s="85" t="str">
        <f>REPLACE(INDEX(GroupVertices[Group],MATCH(Edges[[#This Row],[Vertex 1]],GroupVertices[Vertex],0)),1,1,"")</f>
        <v>2</v>
      </c>
      <c r="BC29" s="85" t="str">
        <f>REPLACE(INDEX(GroupVertices[Group],MATCH(Edges[[#This Row],[Vertex 2]],GroupVertices[Vertex],0)),1,1,"")</f>
        <v>2</v>
      </c>
      <c r="BD29" s="51"/>
      <c r="BE29" s="52"/>
      <c r="BF29" s="51"/>
      <c r="BG29" s="52"/>
      <c r="BH29" s="51"/>
      <c r="BI29" s="52"/>
      <c r="BJ29" s="51"/>
      <c r="BK29" s="52"/>
      <c r="BL29" s="51"/>
    </row>
    <row r="30" spans="1:64" ht="15">
      <c r="A30" s="84" t="s">
        <v>225</v>
      </c>
      <c r="B30" s="84" t="s">
        <v>226</v>
      </c>
      <c r="C30" s="53" t="s">
        <v>901</v>
      </c>
      <c r="D30" s="54">
        <v>3</v>
      </c>
      <c r="E30" s="65" t="s">
        <v>132</v>
      </c>
      <c r="F30" s="55">
        <v>32</v>
      </c>
      <c r="G30" s="53"/>
      <c r="H30" s="57"/>
      <c r="I30" s="56"/>
      <c r="J30" s="56"/>
      <c r="K30" s="36" t="s">
        <v>66</v>
      </c>
      <c r="L30" s="83">
        <v>30</v>
      </c>
      <c r="M30" s="83"/>
      <c r="N30" s="63"/>
      <c r="O30" s="86" t="s">
        <v>240</v>
      </c>
      <c r="P30" s="88">
        <v>43646.908217592594</v>
      </c>
      <c r="Q30" s="86" t="s">
        <v>247</v>
      </c>
      <c r="R30" s="86"/>
      <c r="S30" s="86"/>
      <c r="T30" s="86"/>
      <c r="U30" s="86"/>
      <c r="V30" s="89" t="s">
        <v>292</v>
      </c>
      <c r="W30" s="88">
        <v>43646.908217592594</v>
      </c>
      <c r="X30" s="89" t="s">
        <v>310</v>
      </c>
      <c r="Y30" s="86"/>
      <c r="Z30" s="86"/>
      <c r="AA30" s="92" t="s">
        <v>336</v>
      </c>
      <c r="AB30" s="92" t="s">
        <v>348</v>
      </c>
      <c r="AC30" s="86" t="b">
        <v>0</v>
      </c>
      <c r="AD30" s="86">
        <v>0</v>
      </c>
      <c r="AE30" s="92" t="s">
        <v>350</v>
      </c>
      <c r="AF30" s="86" t="b">
        <v>0</v>
      </c>
      <c r="AG30" s="86" t="s">
        <v>352</v>
      </c>
      <c r="AH30" s="86"/>
      <c r="AI30" s="92" t="s">
        <v>349</v>
      </c>
      <c r="AJ30" s="86" t="b">
        <v>0</v>
      </c>
      <c r="AK30" s="86">
        <v>0</v>
      </c>
      <c r="AL30" s="92" t="s">
        <v>349</v>
      </c>
      <c r="AM30" s="86" t="s">
        <v>359</v>
      </c>
      <c r="AN30" s="86" t="b">
        <v>0</v>
      </c>
      <c r="AO30" s="92" t="s">
        <v>348</v>
      </c>
      <c r="AP30" s="86" t="s">
        <v>176</v>
      </c>
      <c r="AQ30" s="86">
        <v>0</v>
      </c>
      <c r="AR30" s="86">
        <v>0</v>
      </c>
      <c r="AS30" s="86"/>
      <c r="AT30" s="86"/>
      <c r="AU30" s="86"/>
      <c r="AV30" s="86"/>
      <c r="AW30" s="86"/>
      <c r="AX30" s="86"/>
      <c r="AY30" s="86"/>
      <c r="AZ30" s="86"/>
      <c r="BA30">
        <v>1</v>
      </c>
      <c r="BB30" s="85" t="str">
        <f>REPLACE(INDEX(GroupVertices[Group],MATCH(Edges[[#This Row],[Vertex 1]],GroupVertices[Vertex],0)),1,1,"")</f>
        <v>2</v>
      </c>
      <c r="BC30" s="85" t="str">
        <f>REPLACE(INDEX(GroupVertices[Group],MATCH(Edges[[#This Row],[Vertex 2]],GroupVertices[Vertex],0)),1,1,"")</f>
        <v>2</v>
      </c>
      <c r="BD30" s="51">
        <v>0</v>
      </c>
      <c r="BE30" s="52">
        <v>0</v>
      </c>
      <c r="BF30" s="51">
        <v>0</v>
      </c>
      <c r="BG30" s="52">
        <v>0</v>
      </c>
      <c r="BH30" s="51">
        <v>0</v>
      </c>
      <c r="BI30" s="52">
        <v>0</v>
      </c>
      <c r="BJ30" s="51">
        <v>10</v>
      </c>
      <c r="BK30" s="52">
        <v>100</v>
      </c>
      <c r="BL30" s="51">
        <v>10</v>
      </c>
    </row>
    <row r="31" spans="1:64" ht="15">
      <c r="A31" s="84" t="s">
        <v>226</v>
      </c>
      <c r="B31" s="84" t="s">
        <v>225</v>
      </c>
      <c r="C31" s="53" t="s">
        <v>901</v>
      </c>
      <c r="D31" s="54">
        <v>3</v>
      </c>
      <c r="E31" s="65" t="s">
        <v>132</v>
      </c>
      <c r="F31" s="55">
        <v>32</v>
      </c>
      <c r="G31" s="53"/>
      <c r="H31" s="57"/>
      <c r="I31" s="56"/>
      <c r="J31" s="56"/>
      <c r="K31" s="36" t="s">
        <v>66</v>
      </c>
      <c r="L31" s="83">
        <v>31</v>
      </c>
      <c r="M31" s="83"/>
      <c r="N31" s="63"/>
      <c r="O31" s="86" t="s">
        <v>240</v>
      </c>
      <c r="P31" s="88">
        <v>43646.94797453703</v>
      </c>
      <c r="Q31" s="86" t="s">
        <v>248</v>
      </c>
      <c r="R31" s="86"/>
      <c r="S31" s="86"/>
      <c r="T31" s="86"/>
      <c r="U31" s="86"/>
      <c r="V31" s="89" t="s">
        <v>293</v>
      </c>
      <c r="W31" s="88">
        <v>43646.94797453703</v>
      </c>
      <c r="X31" s="89" t="s">
        <v>311</v>
      </c>
      <c r="Y31" s="86"/>
      <c r="Z31" s="86"/>
      <c r="AA31" s="92" t="s">
        <v>337</v>
      </c>
      <c r="AB31" s="92" t="s">
        <v>336</v>
      </c>
      <c r="AC31" s="86" t="b">
        <v>0</v>
      </c>
      <c r="AD31" s="86">
        <v>1</v>
      </c>
      <c r="AE31" s="92" t="s">
        <v>351</v>
      </c>
      <c r="AF31" s="86" t="b">
        <v>0</v>
      </c>
      <c r="AG31" s="86" t="s">
        <v>352</v>
      </c>
      <c r="AH31" s="86"/>
      <c r="AI31" s="92" t="s">
        <v>349</v>
      </c>
      <c r="AJ31" s="86" t="b">
        <v>0</v>
      </c>
      <c r="AK31" s="86">
        <v>0</v>
      </c>
      <c r="AL31" s="92" t="s">
        <v>349</v>
      </c>
      <c r="AM31" s="86" t="s">
        <v>359</v>
      </c>
      <c r="AN31" s="86" t="b">
        <v>0</v>
      </c>
      <c r="AO31" s="92" t="s">
        <v>336</v>
      </c>
      <c r="AP31" s="86" t="s">
        <v>176</v>
      </c>
      <c r="AQ31" s="86">
        <v>0</v>
      </c>
      <c r="AR31" s="86">
        <v>0</v>
      </c>
      <c r="AS31" s="86"/>
      <c r="AT31" s="86"/>
      <c r="AU31" s="86"/>
      <c r="AV31" s="86"/>
      <c r="AW31" s="86"/>
      <c r="AX31" s="86"/>
      <c r="AY31" s="86"/>
      <c r="AZ31" s="86"/>
      <c r="BA31">
        <v>1</v>
      </c>
      <c r="BB31" s="85" t="str">
        <f>REPLACE(INDEX(GroupVertices[Group],MATCH(Edges[[#This Row],[Vertex 1]],GroupVertices[Vertex],0)),1,1,"")</f>
        <v>2</v>
      </c>
      <c r="BC31" s="85" t="str">
        <f>REPLACE(INDEX(GroupVertices[Group],MATCH(Edges[[#This Row],[Vertex 2]],GroupVertices[Vertex],0)),1,1,"")</f>
        <v>2</v>
      </c>
      <c r="BD31" s="51">
        <v>1</v>
      </c>
      <c r="BE31" s="52">
        <v>6.666666666666667</v>
      </c>
      <c r="BF31" s="51">
        <v>0</v>
      </c>
      <c r="BG31" s="52">
        <v>0</v>
      </c>
      <c r="BH31" s="51">
        <v>0</v>
      </c>
      <c r="BI31" s="52">
        <v>0</v>
      </c>
      <c r="BJ31" s="51">
        <v>14</v>
      </c>
      <c r="BK31" s="52">
        <v>93.33333333333333</v>
      </c>
      <c r="BL31" s="51">
        <v>15</v>
      </c>
    </row>
    <row r="32" spans="1:64" ht="15">
      <c r="A32" s="84" t="s">
        <v>227</v>
      </c>
      <c r="B32" s="84" t="s">
        <v>236</v>
      </c>
      <c r="C32" s="53" t="s">
        <v>901</v>
      </c>
      <c r="D32" s="54">
        <v>3</v>
      </c>
      <c r="E32" s="65" t="s">
        <v>132</v>
      </c>
      <c r="F32" s="55">
        <v>32</v>
      </c>
      <c r="G32" s="53"/>
      <c r="H32" s="57"/>
      <c r="I32" s="56"/>
      <c r="J32" s="56"/>
      <c r="K32" s="36" t="s">
        <v>65</v>
      </c>
      <c r="L32" s="83">
        <v>32</v>
      </c>
      <c r="M32" s="83"/>
      <c r="N32" s="63"/>
      <c r="O32" s="86" t="s">
        <v>239</v>
      </c>
      <c r="P32" s="88">
        <v>43647.41673611111</v>
      </c>
      <c r="Q32" s="86" t="s">
        <v>249</v>
      </c>
      <c r="R32" s="89" t="s">
        <v>260</v>
      </c>
      <c r="S32" s="86" t="s">
        <v>265</v>
      </c>
      <c r="T32" s="86" t="s">
        <v>271</v>
      </c>
      <c r="U32" s="86"/>
      <c r="V32" s="89" t="s">
        <v>294</v>
      </c>
      <c r="W32" s="88">
        <v>43647.41673611111</v>
      </c>
      <c r="X32" s="89" t="s">
        <v>312</v>
      </c>
      <c r="Y32" s="86"/>
      <c r="Z32" s="86"/>
      <c r="AA32" s="92" t="s">
        <v>338</v>
      </c>
      <c r="AB32" s="86"/>
      <c r="AC32" s="86" t="b">
        <v>0</v>
      </c>
      <c r="AD32" s="86">
        <v>0</v>
      </c>
      <c r="AE32" s="92" t="s">
        <v>349</v>
      </c>
      <c r="AF32" s="86" t="b">
        <v>0</v>
      </c>
      <c r="AG32" s="86" t="s">
        <v>352</v>
      </c>
      <c r="AH32" s="86"/>
      <c r="AI32" s="92" t="s">
        <v>349</v>
      </c>
      <c r="AJ32" s="86" t="b">
        <v>0</v>
      </c>
      <c r="AK32" s="86">
        <v>0</v>
      </c>
      <c r="AL32" s="92" t="s">
        <v>349</v>
      </c>
      <c r="AM32" s="86" t="s">
        <v>357</v>
      </c>
      <c r="AN32" s="86" t="b">
        <v>0</v>
      </c>
      <c r="AO32" s="92" t="s">
        <v>338</v>
      </c>
      <c r="AP32" s="86" t="s">
        <v>176</v>
      </c>
      <c r="AQ32" s="86">
        <v>0</v>
      </c>
      <c r="AR32" s="86">
        <v>0</v>
      </c>
      <c r="AS32" s="86"/>
      <c r="AT32" s="86"/>
      <c r="AU32" s="86"/>
      <c r="AV32" s="86"/>
      <c r="AW32" s="86"/>
      <c r="AX32" s="86"/>
      <c r="AY32" s="86"/>
      <c r="AZ32" s="86"/>
      <c r="BA32">
        <v>1</v>
      </c>
      <c r="BB32" s="85" t="str">
        <f>REPLACE(INDEX(GroupVertices[Group],MATCH(Edges[[#This Row],[Vertex 1]],GroupVertices[Vertex],0)),1,1,"")</f>
        <v>5</v>
      </c>
      <c r="BC32" s="85" t="str">
        <f>REPLACE(INDEX(GroupVertices[Group],MATCH(Edges[[#This Row],[Vertex 2]],GroupVertices[Vertex],0)),1,1,"")</f>
        <v>5</v>
      </c>
      <c r="BD32" s="51"/>
      <c r="BE32" s="52"/>
      <c r="BF32" s="51"/>
      <c r="BG32" s="52"/>
      <c r="BH32" s="51"/>
      <c r="BI32" s="52"/>
      <c r="BJ32" s="51"/>
      <c r="BK32" s="52"/>
      <c r="BL32" s="51"/>
    </row>
    <row r="33" spans="1:64" ht="15">
      <c r="A33" s="84" t="s">
        <v>227</v>
      </c>
      <c r="B33" s="84" t="s">
        <v>237</v>
      </c>
      <c r="C33" s="53" t="s">
        <v>901</v>
      </c>
      <c r="D33" s="54">
        <v>3</v>
      </c>
      <c r="E33" s="65" t="s">
        <v>132</v>
      </c>
      <c r="F33" s="55">
        <v>32</v>
      </c>
      <c r="G33" s="53"/>
      <c r="H33" s="57"/>
      <c r="I33" s="56"/>
      <c r="J33" s="56"/>
      <c r="K33" s="36" t="s">
        <v>65</v>
      </c>
      <c r="L33" s="83">
        <v>33</v>
      </c>
      <c r="M33" s="83"/>
      <c r="N33" s="63"/>
      <c r="O33" s="86" t="s">
        <v>239</v>
      </c>
      <c r="P33" s="88">
        <v>43647.41673611111</v>
      </c>
      <c r="Q33" s="86" t="s">
        <v>249</v>
      </c>
      <c r="R33" s="89" t="s">
        <v>260</v>
      </c>
      <c r="S33" s="86" t="s">
        <v>265</v>
      </c>
      <c r="T33" s="86" t="s">
        <v>271</v>
      </c>
      <c r="U33" s="86"/>
      <c r="V33" s="89" t="s">
        <v>294</v>
      </c>
      <c r="W33" s="88">
        <v>43647.41673611111</v>
      </c>
      <c r="X33" s="89" t="s">
        <v>312</v>
      </c>
      <c r="Y33" s="86"/>
      <c r="Z33" s="86"/>
      <c r="AA33" s="92" t="s">
        <v>338</v>
      </c>
      <c r="AB33" s="86"/>
      <c r="AC33" s="86" t="b">
        <v>0</v>
      </c>
      <c r="AD33" s="86">
        <v>0</v>
      </c>
      <c r="AE33" s="92" t="s">
        <v>349</v>
      </c>
      <c r="AF33" s="86" t="b">
        <v>0</v>
      </c>
      <c r="AG33" s="86" t="s">
        <v>352</v>
      </c>
      <c r="AH33" s="86"/>
      <c r="AI33" s="92" t="s">
        <v>349</v>
      </c>
      <c r="AJ33" s="86" t="b">
        <v>0</v>
      </c>
      <c r="AK33" s="86">
        <v>0</v>
      </c>
      <c r="AL33" s="92" t="s">
        <v>349</v>
      </c>
      <c r="AM33" s="86" t="s">
        <v>357</v>
      </c>
      <c r="AN33" s="86" t="b">
        <v>0</v>
      </c>
      <c r="AO33" s="92" t="s">
        <v>338</v>
      </c>
      <c r="AP33" s="86" t="s">
        <v>176</v>
      </c>
      <c r="AQ33" s="86">
        <v>0</v>
      </c>
      <c r="AR33" s="86">
        <v>0</v>
      </c>
      <c r="AS33" s="86"/>
      <c r="AT33" s="86"/>
      <c r="AU33" s="86"/>
      <c r="AV33" s="86"/>
      <c r="AW33" s="86"/>
      <c r="AX33" s="86"/>
      <c r="AY33" s="86"/>
      <c r="AZ33" s="86"/>
      <c r="BA33">
        <v>1</v>
      </c>
      <c r="BB33" s="85" t="str">
        <f>REPLACE(INDEX(GroupVertices[Group],MATCH(Edges[[#This Row],[Vertex 1]],GroupVertices[Vertex],0)),1,1,"")</f>
        <v>5</v>
      </c>
      <c r="BC33" s="85" t="str">
        <f>REPLACE(INDEX(GroupVertices[Group],MATCH(Edges[[#This Row],[Vertex 2]],GroupVertices[Vertex],0)),1,1,"")</f>
        <v>5</v>
      </c>
      <c r="BD33" s="51">
        <v>1</v>
      </c>
      <c r="BE33" s="52">
        <v>3.5714285714285716</v>
      </c>
      <c r="BF33" s="51">
        <v>1</v>
      </c>
      <c r="BG33" s="52">
        <v>3.5714285714285716</v>
      </c>
      <c r="BH33" s="51">
        <v>0</v>
      </c>
      <c r="BI33" s="52">
        <v>0</v>
      </c>
      <c r="BJ33" s="51">
        <v>26</v>
      </c>
      <c r="BK33" s="52">
        <v>92.85714285714286</v>
      </c>
      <c r="BL33" s="51">
        <v>28</v>
      </c>
    </row>
    <row r="34" spans="1:64" ht="30">
      <c r="A34" s="84" t="s">
        <v>228</v>
      </c>
      <c r="B34" s="84" t="s">
        <v>228</v>
      </c>
      <c r="C34" s="53" t="s">
        <v>902</v>
      </c>
      <c r="D34" s="54">
        <v>3</v>
      </c>
      <c r="E34" s="65" t="s">
        <v>136</v>
      </c>
      <c r="F34" s="55">
        <v>19</v>
      </c>
      <c r="G34" s="53"/>
      <c r="H34" s="57"/>
      <c r="I34" s="56"/>
      <c r="J34" s="56"/>
      <c r="K34" s="36" t="s">
        <v>65</v>
      </c>
      <c r="L34" s="83">
        <v>34</v>
      </c>
      <c r="M34" s="83"/>
      <c r="N34" s="63"/>
      <c r="O34" s="86" t="s">
        <v>176</v>
      </c>
      <c r="P34" s="88">
        <v>43643.72925925926</v>
      </c>
      <c r="Q34" s="86" t="s">
        <v>250</v>
      </c>
      <c r="R34" s="89" t="s">
        <v>261</v>
      </c>
      <c r="S34" s="86" t="s">
        <v>266</v>
      </c>
      <c r="T34" s="86"/>
      <c r="U34" s="89" t="s">
        <v>274</v>
      </c>
      <c r="V34" s="89" t="s">
        <v>274</v>
      </c>
      <c r="W34" s="88">
        <v>43643.72925925926</v>
      </c>
      <c r="X34" s="89" t="s">
        <v>313</v>
      </c>
      <c r="Y34" s="86"/>
      <c r="Z34" s="86"/>
      <c r="AA34" s="92" t="s">
        <v>339</v>
      </c>
      <c r="AB34" s="86"/>
      <c r="AC34" s="86" t="b">
        <v>0</v>
      </c>
      <c r="AD34" s="86">
        <v>0</v>
      </c>
      <c r="AE34" s="92" t="s">
        <v>349</v>
      </c>
      <c r="AF34" s="86" t="b">
        <v>0</v>
      </c>
      <c r="AG34" s="86" t="s">
        <v>352</v>
      </c>
      <c r="AH34" s="86"/>
      <c r="AI34" s="92" t="s">
        <v>349</v>
      </c>
      <c r="AJ34" s="86" t="b">
        <v>0</v>
      </c>
      <c r="AK34" s="86">
        <v>0</v>
      </c>
      <c r="AL34" s="92" t="s">
        <v>349</v>
      </c>
      <c r="AM34" s="86" t="s">
        <v>360</v>
      </c>
      <c r="AN34" s="86" t="b">
        <v>0</v>
      </c>
      <c r="AO34" s="92" t="s">
        <v>339</v>
      </c>
      <c r="AP34" s="86" t="s">
        <v>176</v>
      </c>
      <c r="AQ34" s="86">
        <v>0</v>
      </c>
      <c r="AR34" s="86">
        <v>0</v>
      </c>
      <c r="AS34" s="86"/>
      <c r="AT34" s="86"/>
      <c r="AU34" s="86"/>
      <c r="AV34" s="86"/>
      <c r="AW34" s="86"/>
      <c r="AX34" s="86"/>
      <c r="AY34" s="86"/>
      <c r="AZ34" s="86"/>
      <c r="BA34">
        <v>2</v>
      </c>
      <c r="BB34" s="85" t="str">
        <f>REPLACE(INDEX(GroupVertices[Group],MATCH(Edges[[#This Row],[Vertex 1]],GroupVertices[Vertex],0)),1,1,"")</f>
        <v>6</v>
      </c>
      <c r="BC34" s="85" t="str">
        <f>REPLACE(INDEX(GroupVertices[Group],MATCH(Edges[[#This Row],[Vertex 2]],GroupVertices[Vertex],0)),1,1,"")</f>
        <v>6</v>
      </c>
      <c r="BD34" s="51">
        <v>2</v>
      </c>
      <c r="BE34" s="52">
        <v>6.666666666666667</v>
      </c>
      <c r="BF34" s="51">
        <v>1</v>
      </c>
      <c r="BG34" s="52">
        <v>3.3333333333333335</v>
      </c>
      <c r="BH34" s="51">
        <v>0</v>
      </c>
      <c r="BI34" s="52">
        <v>0</v>
      </c>
      <c r="BJ34" s="51">
        <v>27</v>
      </c>
      <c r="BK34" s="52">
        <v>90</v>
      </c>
      <c r="BL34" s="51">
        <v>30</v>
      </c>
    </row>
    <row r="35" spans="1:64" ht="30">
      <c r="A35" s="84" t="s">
        <v>228</v>
      </c>
      <c r="B35" s="84" t="s">
        <v>228</v>
      </c>
      <c r="C35" s="53" t="s">
        <v>902</v>
      </c>
      <c r="D35" s="54">
        <v>3</v>
      </c>
      <c r="E35" s="65" t="s">
        <v>136</v>
      </c>
      <c r="F35" s="55">
        <v>19</v>
      </c>
      <c r="G35" s="53"/>
      <c r="H35" s="57"/>
      <c r="I35" s="56"/>
      <c r="J35" s="56"/>
      <c r="K35" s="36" t="s">
        <v>65</v>
      </c>
      <c r="L35" s="83">
        <v>35</v>
      </c>
      <c r="M35" s="83"/>
      <c r="N35" s="63"/>
      <c r="O35" s="86" t="s">
        <v>176</v>
      </c>
      <c r="P35" s="88">
        <v>43647.77097222222</v>
      </c>
      <c r="Q35" s="86" t="s">
        <v>251</v>
      </c>
      <c r="R35" s="89" t="s">
        <v>261</v>
      </c>
      <c r="S35" s="86" t="s">
        <v>266</v>
      </c>
      <c r="T35" s="86" t="s">
        <v>269</v>
      </c>
      <c r="U35" s="89" t="s">
        <v>275</v>
      </c>
      <c r="V35" s="89" t="s">
        <v>275</v>
      </c>
      <c r="W35" s="88">
        <v>43647.77097222222</v>
      </c>
      <c r="X35" s="89" t="s">
        <v>314</v>
      </c>
      <c r="Y35" s="86"/>
      <c r="Z35" s="86"/>
      <c r="AA35" s="92" t="s">
        <v>340</v>
      </c>
      <c r="AB35" s="86"/>
      <c r="AC35" s="86" t="b">
        <v>0</v>
      </c>
      <c r="AD35" s="86">
        <v>3</v>
      </c>
      <c r="AE35" s="92" t="s">
        <v>349</v>
      </c>
      <c r="AF35" s="86" t="b">
        <v>0</v>
      </c>
      <c r="AG35" s="86" t="s">
        <v>352</v>
      </c>
      <c r="AH35" s="86"/>
      <c r="AI35" s="92" t="s">
        <v>349</v>
      </c>
      <c r="AJ35" s="86" t="b">
        <v>0</v>
      </c>
      <c r="AK35" s="86">
        <v>1</v>
      </c>
      <c r="AL35" s="92" t="s">
        <v>349</v>
      </c>
      <c r="AM35" s="86" t="s">
        <v>360</v>
      </c>
      <c r="AN35" s="86" t="b">
        <v>0</v>
      </c>
      <c r="AO35" s="92" t="s">
        <v>340</v>
      </c>
      <c r="AP35" s="86" t="s">
        <v>176</v>
      </c>
      <c r="AQ35" s="86">
        <v>0</v>
      </c>
      <c r="AR35" s="86">
        <v>0</v>
      </c>
      <c r="AS35" s="86"/>
      <c r="AT35" s="86"/>
      <c r="AU35" s="86"/>
      <c r="AV35" s="86"/>
      <c r="AW35" s="86"/>
      <c r="AX35" s="86"/>
      <c r="AY35" s="86"/>
      <c r="AZ35" s="86"/>
      <c r="BA35">
        <v>2</v>
      </c>
      <c r="BB35" s="85" t="str">
        <f>REPLACE(INDEX(GroupVertices[Group],MATCH(Edges[[#This Row],[Vertex 1]],GroupVertices[Vertex],0)),1,1,"")</f>
        <v>6</v>
      </c>
      <c r="BC35" s="85" t="str">
        <f>REPLACE(INDEX(GroupVertices[Group],MATCH(Edges[[#This Row],[Vertex 2]],GroupVertices[Vertex],0)),1,1,"")</f>
        <v>6</v>
      </c>
      <c r="BD35" s="51">
        <v>0</v>
      </c>
      <c r="BE35" s="52">
        <v>0</v>
      </c>
      <c r="BF35" s="51">
        <v>0</v>
      </c>
      <c r="BG35" s="52">
        <v>0</v>
      </c>
      <c r="BH35" s="51">
        <v>0</v>
      </c>
      <c r="BI35" s="52">
        <v>0</v>
      </c>
      <c r="BJ35" s="51">
        <v>30</v>
      </c>
      <c r="BK35" s="52">
        <v>100</v>
      </c>
      <c r="BL35" s="51">
        <v>30</v>
      </c>
    </row>
    <row r="36" spans="1:64" ht="30">
      <c r="A36" s="84" t="s">
        <v>229</v>
      </c>
      <c r="B36" s="84" t="s">
        <v>229</v>
      </c>
      <c r="C36" s="53" t="s">
        <v>903</v>
      </c>
      <c r="D36" s="54">
        <v>3</v>
      </c>
      <c r="E36" s="65" t="s">
        <v>136</v>
      </c>
      <c r="F36" s="55">
        <v>6</v>
      </c>
      <c r="G36" s="53"/>
      <c r="H36" s="57"/>
      <c r="I36" s="56"/>
      <c r="J36" s="56"/>
      <c r="K36" s="36" t="s">
        <v>65</v>
      </c>
      <c r="L36" s="83">
        <v>36</v>
      </c>
      <c r="M36" s="83"/>
      <c r="N36" s="63"/>
      <c r="O36" s="86" t="s">
        <v>176</v>
      </c>
      <c r="P36" s="88">
        <v>43647.49049768518</v>
      </c>
      <c r="Q36" s="86" t="s">
        <v>252</v>
      </c>
      <c r="R36" s="86" t="s">
        <v>262</v>
      </c>
      <c r="S36" s="86" t="s">
        <v>267</v>
      </c>
      <c r="T36" s="86"/>
      <c r="U36" s="86"/>
      <c r="V36" s="89" t="s">
        <v>295</v>
      </c>
      <c r="W36" s="88">
        <v>43647.49049768518</v>
      </c>
      <c r="X36" s="89" t="s">
        <v>315</v>
      </c>
      <c r="Y36" s="86"/>
      <c r="Z36" s="86"/>
      <c r="AA36" s="92" t="s">
        <v>341</v>
      </c>
      <c r="AB36" s="86"/>
      <c r="AC36" s="86" t="b">
        <v>0</v>
      </c>
      <c r="AD36" s="86">
        <v>1</v>
      </c>
      <c r="AE36" s="92" t="s">
        <v>349</v>
      </c>
      <c r="AF36" s="86" t="b">
        <v>0</v>
      </c>
      <c r="AG36" s="86" t="s">
        <v>354</v>
      </c>
      <c r="AH36" s="86"/>
      <c r="AI36" s="92" t="s">
        <v>349</v>
      </c>
      <c r="AJ36" s="86" t="b">
        <v>0</v>
      </c>
      <c r="AK36" s="86">
        <v>0</v>
      </c>
      <c r="AL36" s="92" t="s">
        <v>349</v>
      </c>
      <c r="AM36" s="86" t="s">
        <v>357</v>
      </c>
      <c r="AN36" s="86" t="b">
        <v>0</v>
      </c>
      <c r="AO36" s="92" t="s">
        <v>341</v>
      </c>
      <c r="AP36" s="86" t="s">
        <v>176</v>
      </c>
      <c r="AQ36" s="86">
        <v>0</v>
      </c>
      <c r="AR36" s="86">
        <v>0</v>
      </c>
      <c r="AS36" s="86"/>
      <c r="AT36" s="86"/>
      <c r="AU36" s="86"/>
      <c r="AV36" s="86"/>
      <c r="AW36" s="86"/>
      <c r="AX36" s="86"/>
      <c r="AY36" s="86"/>
      <c r="AZ36" s="86"/>
      <c r="BA36">
        <v>3</v>
      </c>
      <c r="BB36" s="85" t="str">
        <f>REPLACE(INDEX(GroupVertices[Group],MATCH(Edges[[#This Row],[Vertex 1]],GroupVertices[Vertex],0)),1,1,"")</f>
        <v>6</v>
      </c>
      <c r="BC36" s="85" t="str">
        <f>REPLACE(INDEX(GroupVertices[Group],MATCH(Edges[[#This Row],[Vertex 2]],GroupVertices[Vertex],0)),1,1,"")</f>
        <v>6</v>
      </c>
      <c r="BD36" s="51">
        <v>0</v>
      </c>
      <c r="BE36" s="52">
        <v>0</v>
      </c>
      <c r="BF36" s="51">
        <v>0</v>
      </c>
      <c r="BG36" s="52">
        <v>0</v>
      </c>
      <c r="BH36" s="51">
        <v>0</v>
      </c>
      <c r="BI36" s="52">
        <v>0</v>
      </c>
      <c r="BJ36" s="51">
        <v>8</v>
      </c>
      <c r="BK36" s="52">
        <v>100</v>
      </c>
      <c r="BL36" s="51">
        <v>8</v>
      </c>
    </row>
    <row r="37" spans="1:64" ht="30">
      <c r="A37" s="84" t="s">
        <v>229</v>
      </c>
      <c r="B37" s="84" t="s">
        <v>229</v>
      </c>
      <c r="C37" s="53" t="s">
        <v>903</v>
      </c>
      <c r="D37" s="54">
        <v>3</v>
      </c>
      <c r="E37" s="65" t="s">
        <v>136</v>
      </c>
      <c r="F37" s="55">
        <v>6</v>
      </c>
      <c r="G37" s="53"/>
      <c r="H37" s="57"/>
      <c r="I37" s="56"/>
      <c r="J37" s="56"/>
      <c r="K37" s="36" t="s">
        <v>65</v>
      </c>
      <c r="L37" s="83">
        <v>37</v>
      </c>
      <c r="M37" s="83"/>
      <c r="N37" s="63"/>
      <c r="O37" s="86" t="s">
        <v>176</v>
      </c>
      <c r="P37" s="88">
        <v>43647.554872685185</v>
      </c>
      <c r="Q37" s="86" t="s">
        <v>253</v>
      </c>
      <c r="R37" s="86"/>
      <c r="S37" s="86"/>
      <c r="T37" s="86"/>
      <c r="U37" s="89" t="s">
        <v>276</v>
      </c>
      <c r="V37" s="89" t="s">
        <v>276</v>
      </c>
      <c r="W37" s="88">
        <v>43647.554872685185</v>
      </c>
      <c r="X37" s="89" t="s">
        <v>316</v>
      </c>
      <c r="Y37" s="86"/>
      <c r="Z37" s="86"/>
      <c r="AA37" s="92" t="s">
        <v>342</v>
      </c>
      <c r="AB37" s="86"/>
      <c r="AC37" s="86" t="b">
        <v>0</v>
      </c>
      <c r="AD37" s="86">
        <v>3</v>
      </c>
      <c r="AE37" s="92" t="s">
        <v>349</v>
      </c>
      <c r="AF37" s="86" t="b">
        <v>0</v>
      </c>
      <c r="AG37" s="86" t="s">
        <v>352</v>
      </c>
      <c r="AH37" s="86"/>
      <c r="AI37" s="92" t="s">
        <v>349</v>
      </c>
      <c r="AJ37" s="86" t="b">
        <v>0</v>
      </c>
      <c r="AK37" s="86">
        <v>0</v>
      </c>
      <c r="AL37" s="92" t="s">
        <v>349</v>
      </c>
      <c r="AM37" s="86" t="s">
        <v>357</v>
      </c>
      <c r="AN37" s="86" t="b">
        <v>0</v>
      </c>
      <c r="AO37" s="92" t="s">
        <v>342</v>
      </c>
      <c r="AP37" s="86" t="s">
        <v>176</v>
      </c>
      <c r="AQ37" s="86">
        <v>0</v>
      </c>
      <c r="AR37" s="86">
        <v>0</v>
      </c>
      <c r="AS37" s="86"/>
      <c r="AT37" s="86"/>
      <c r="AU37" s="86"/>
      <c r="AV37" s="86"/>
      <c r="AW37" s="86"/>
      <c r="AX37" s="86"/>
      <c r="AY37" s="86"/>
      <c r="AZ37" s="86"/>
      <c r="BA37">
        <v>3</v>
      </c>
      <c r="BB37" s="85" t="str">
        <f>REPLACE(INDEX(GroupVertices[Group],MATCH(Edges[[#This Row],[Vertex 1]],GroupVertices[Vertex],0)),1,1,"")</f>
        <v>6</v>
      </c>
      <c r="BC37" s="85" t="str">
        <f>REPLACE(INDEX(GroupVertices[Group],MATCH(Edges[[#This Row],[Vertex 2]],GroupVertices[Vertex],0)),1,1,"")</f>
        <v>6</v>
      </c>
      <c r="BD37" s="51">
        <v>0</v>
      </c>
      <c r="BE37" s="52">
        <v>0</v>
      </c>
      <c r="BF37" s="51">
        <v>0</v>
      </c>
      <c r="BG37" s="52">
        <v>0</v>
      </c>
      <c r="BH37" s="51">
        <v>0</v>
      </c>
      <c r="BI37" s="52">
        <v>0</v>
      </c>
      <c r="BJ37" s="51">
        <v>7</v>
      </c>
      <c r="BK37" s="52">
        <v>100</v>
      </c>
      <c r="BL37" s="51">
        <v>7</v>
      </c>
    </row>
    <row r="38" spans="1:64" ht="30">
      <c r="A38" s="84" t="s">
        <v>229</v>
      </c>
      <c r="B38" s="84" t="s">
        <v>229</v>
      </c>
      <c r="C38" s="53" t="s">
        <v>903</v>
      </c>
      <c r="D38" s="54">
        <v>3</v>
      </c>
      <c r="E38" s="65" t="s">
        <v>136</v>
      </c>
      <c r="F38" s="55">
        <v>6</v>
      </c>
      <c r="G38" s="53"/>
      <c r="H38" s="57"/>
      <c r="I38" s="56"/>
      <c r="J38" s="56"/>
      <c r="K38" s="36" t="s">
        <v>65</v>
      </c>
      <c r="L38" s="83">
        <v>38</v>
      </c>
      <c r="M38" s="83"/>
      <c r="N38" s="63"/>
      <c r="O38" s="86" t="s">
        <v>176</v>
      </c>
      <c r="P38" s="88">
        <v>43648.55092592593</v>
      </c>
      <c r="Q38" s="86" t="s">
        <v>254</v>
      </c>
      <c r="R38" s="89" t="s">
        <v>263</v>
      </c>
      <c r="S38" s="86" t="s">
        <v>268</v>
      </c>
      <c r="T38" s="86"/>
      <c r="U38" s="86"/>
      <c r="V38" s="89" t="s">
        <v>295</v>
      </c>
      <c r="W38" s="88">
        <v>43648.55092592593</v>
      </c>
      <c r="X38" s="89" t="s">
        <v>317</v>
      </c>
      <c r="Y38" s="86"/>
      <c r="Z38" s="86"/>
      <c r="AA38" s="92" t="s">
        <v>343</v>
      </c>
      <c r="AB38" s="86"/>
      <c r="AC38" s="86" t="b">
        <v>0</v>
      </c>
      <c r="AD38" s="86">
        <v>0</v>
      </c>
      <c r="AE38" s="92" t="s">
        <v>349</v>
      </c>
      <c r="AF38" s="86" t="b">
        <v>1</v>
      </c>
      <c r="AG38" s="86" t="s">
        <v>354</v>
      </c>
      <c r="AH38" s="86"/>
      <c r="AI38" s="92" t="s">
        <v>355</v>
      </c>
      <c r="AJ38" s="86" t="b">
        <v>0</v>
      </c>
      <c r="AK38" s="86">
        <v>0</v>
      </c>
      <c r="AL38" s="92" t="s">
        <v>349</v>
      </c>
      <c r="AM38" s="86" t="s">
        <v>357</v>
      </c>
      <c r="AN38" s="86" t="b">
        <v>0</v>
      </c>
      <c r="AO38" s="92" t="s">
        <v>343</v>
      </c>
      <c r="AP38" s="86" t="s">
        <v>176</v>
      </c>
      <c r="AQ38" s="86">
        <v>0</v>
      </c>
      <c r="AR38" s="86">
        <v>0</v>
      </c>
      <c r="AS38" s="86"/>
      <c r="AT38" s="86"/>
      <c r="AU38" s="86"/>
      <c r="AV38" s="86"/>
      <c r="AW38" s="86"/>
      <c r="AX38" s="86"/>
      <c r="AY38" s="86"/>
      <c r="AZ38" s="86"/>
      <c r="BA38">
        <v>3</v>
      </c>
      <c r="BB38" s="85" t="str">
        <f>REPLACE(INDEX(GroupVertices[Group],MATCH(Edges[[#This Row],[Vertex 1]],GroupVertices[Vertex],0)),1,1,"")</f>
        <v>6</v>
      </c>
      <c r="BC38" s="85" t="str">
        <f>REPLACE(INDEX(GroupVertices[Group],MATCH(Edges[[#This Row],[Vertex 2]],GroupVertices[Vertex],0)),1,1,"")</f>
        <v>6</v>
      </c>
      <c r="BD38" s="51">
        <v>0</v>
      </c>
      <c r="BE38" s="52">
        <v>0</v>
      </c>
      <c r="BF38" s="51">
        <v>0</v>
      </c>
      <c r="BG38" s="52">
        <v>0</v>
      </c>
      <c r="BH38" s="51">
        <v>0</v>
      </c>
      <c r="BI38" s="52">
        <v>0</v>
      </c>
      <c r="BJ38" s="51">
        <v>8</v>
      </c>
      <c r="BK38" s="52">
        <v>100</v>
      </c>
      <c r="BL38" s="51">
        <v>8</v>
      </c>
    </row>
    <row r="39" spans="1:64" ht="15">
      <c r="A39" s="84" t="s">
        <v>230</v>
      </c>
      <c r="B39" s="84" t="s">
        <v>238</v>
      </c>
      <c r="C39" s="53" t="s">
        <v>901</v>
      </c>
      <c r="D39" s="54">
        <v>3</v>
      </c>
      <c r="E39" s="65" t="s">
        <v>132</v>
      </c>
      <c r="F39" s="55">
        <v>32</v>
      </c>
      <c r="G39" s="53"/>
      <c r="H39" s="57"/>
      <c r="I39" s="56"/>
      <c r="J39" s="56"/>
      <c r="K39" s="36" t="s">
        <v>65</v>
      </c>
      <c r="L39" s="83">
        <v>39</v>
      </c>
      <c r="M39" s="83"/>
      <c r="N39" s="63"/>
      <c r="O39" s="86" t="s">
        <v>239</v>
      </c>
      <c r="P39" s="88">
        <v>43648.55056712963</v>
      </c>
      <c r="Q39" s="86" t="s">
        <v>255</v>
      </c>
      <c r="R39" s="86"/>
      <c r="S39" s="86"/>
      <c r="T39" s="86" t="s">
        <v>269</v>
      </c>
      <c r="U39" s="89" t="s">
        <v>277</v>
      </c>
      <c r="V39" s="89" t="s">
        <v>277</v>
      </c>
      <c r="W39" s="88">
        <v>43648.55056712963</v>
      </c>
      <c r="X39" s="89" t="s">
        <v>318</v>
      </c>
      <c r="Y39" s="86"/>
      <c r="Z39" s="86"/>
      <c r="AA39" s="92" t="s">
        <v>344</v>
      </c>
      <c r="AB39" s="86"/>
      <c r="AC39" s="86" t="b">
        <v>0</v>
      </c>
      <c r="AD39" s="86">
        <v>1</v>
      </c>
      <c r="AE39" s="92" t="s">
        <v>349</v>
      </c>
      <c r="AF39" s="86" t="b">
        <v>0</v>
      </c>
      <c r="AG39" s="86" t="s">
        <v>352</v>
      </c>
      <c r="AH39" s="86"/>
      <c r="AI39" s="92" t="s">
        <v>349</v>
      </c>
      <c r="AJ39" s="86" t="b">
        <v>0</v>
      </c>
      <c r="AK39" s="86">
        <v>1</v>
      </c>
      <c r="AL39" s="92" t="s">
        <v>349</v>
      </c>
      <c r="AM39" s="86" t="s">
        <v>359</v>
      </c>
      <c r="AN39" s="86" t="b">
        <v>0</v>
      </c>
      <c r="AO39" s="92" t="s">
        <v>344</v>
      </c>
      <c r="AP39" s="86" t="s">
        <v>176</v>
      </c>
      <c r="AQ39" s="86">
        <v>0</v>
      </c>
      <c r="AR39" s="86">
        <v>0</v>
      </c>
      <c r="AS39" s="86"/>
      <c r="AT39" s="86"/>
      <c r="AU39" s="86"/>
      <c r="AV39" s="86"/>
      <c r="AW39" s="86"/>
      <c r="AX39" s="86"/>
      <c r="AY39" s="86"/>
      <c r="AZ39" s="86"/>
      <c r="BA39">
        <v>1</v>
      </c>
      <c r="BB39" s="85" t="str">
        <f>REPLACE(INDEX(GroupVertices[Group],MATCH(Edges[[#This Row],[Vertex 1]],GroupVertices[Vertex],0)),1,1,"")</f>
        <v>4</v>
      </c>
      <c r="BC39" s="85" t="str">
        <f>REPLACE(INDEX(GroupVertices[Group],MATCH(Edges[[#This Row],[Vertex 2]],GroupVertices[Vertex],0)),1,1,"")</f>
        <v>4</v>
      </c>
      <c r="BD39" s="51">
        <v>0</v>
      </c>
      <c r="BE39" s="52">
        <v>0</v>
      </c>
      <c r="BF39" s="51">
        <v>0</v>
      </c>
      <c r="BG39" s="52">
        <v>0</v>
      </c>
      <c r="BH39" s="51">
        <v>0</v>
      </c>
      <c r="BI39" s="52">
        <v>0</v>
      </c>
      <c r="BJ39" s="51">
        <v>11</v>
      </c>
      <c r="BK39" s="52">
        <v>100</v>
      </c>
      <c r="BL39" s="51">
        <v>11</v>
      </c>
    </row>
    <row r="40" spans="1:64" ht="15">
      <c r="A40" s="84" t="s">
        <v>231</v>
      </c>
      <c r="B40" s="84" t="s">
        <v>238</v>
      </c>
      <c r="C40" s="53" t="s">
        <v>901</v>
      </c>
      <c r="D40" s="54">
        <v>3</v>
      </c>
      <c r="E40" s="65" t="s">
        <v>132</v>
      </c>
      <c r="F40" s="55">
        <v>32</v>
      </c>
      <c r="G40" s="53"/>
      <c r="H40" s="57"/>
      <c r="I40" s="56"/>
      <c r="J40" s="56"/>
      <c r="K40" s="36" t="s">
        <v>65</v>
      </c>
      <c r="L40" s="83">
        <v>40</v>
      </c>
      <c r="M40" s="83"/>
      <c r="N40" s="63"/>
      <c r="O40" s="86" t="s">
        <v>239</v>
      </c>
      <c r="P40" s="88">
        <v>43648.585231481484</v>
      </c>
      <c r="Q40" s="86" t="s">
        <v>256</v>
      </c>
      <c r="R40" s="86"/>
      <c r="S40" s="86"/>
      <c r="T40" s="86" t="s">
        <v>269</v>
      </c>
      <c r="U40" s="89" t="s">
        <v>277</v>
      </c>
      <c r="V40" s="89" t="s">
        <v>277</v>
      </c>
      <c r="W40" s="88">
        <v>43648.585231481484</v>
      </c>
      <c r="X40" s="89" t="s">
        <v>319</v>
      </c>
      <c r="Y40" s="86"/>
      <c r="Z40" s="86"/>
      <c r="AA40" s="92" t="s">
        <v>345</v>
      </c>
      <c r="AB40" s="86"/>
      <c r="AC40" s="86" t="b">
        <v>0</v>
      </c>
      <c r="AD40" s="86">
        <v>0</v>
      </c>
      <c r="AE40" s="92" t="s">
        <v>349</v>
      </c>
      <c r="AF40" s="86" t="b">
        <v>0</v>
      </c>
      <c r="AG40" s="86" t="s">
        <v>352</v>
      </c>
      <c r="AH40" s="86"/>
      <c r="AI40" s="92" t="s">
        <v>349</v>
      </c>
      <c r="AJ40" s="86" t="b">
        <v>0</v>
      </c>
      <c r="AK40" s="86">
        <v>1</v>
      </c>
      <c r="AL40" s="92" t="s">
        <v>344</v>
      </c>
      <c r="AM40" s="86" t="s">
        <v>359</v>
      </c>
      <c r="AN40" s="86" t="b">
        <v>0</v>
      </c>
      <c r="AO40" s="92" t="s">
        <v>344</v>
      </c>
      <c r="AP40" s="86" t="s">
        <v>176</v>
      </c>
      <c r="AQ40" s="86">
        <v>0</v>
      </c>
      <c r="AR40" s="86">
        <v>0</v>
      </c>
      <c r="AS40" s="86"/>
      <c r="AT40" s="86"/>
      <c r="AU40" s="86"/>
      <c r="AV40" s="86"/>
      <c r="AW40" s="86"/>
      <c r="AX40" s="86"/>
      <c r="AY40" s="86"/>
      <c r="AZ40" s="86"/>
      <c r="BA40">
        <v>1</v>
      </c>
      <c r="BB40" s="85" t="str">
        <f>REPLACE(INDEX(GroupVertices[Group],MATCH(Edges[[#This Row],[Vertex 1]],GroupVertices[Vertex],0)),1,1,"")</f>
        <v>4</v>
      </c>
      <c r="BC40" s="85" t="str">
        <f>REPLACE(INDEX(GroupVertices[Group],MATCH(Edges[[#This Row],[Vertex 2]],GroupVertices[Vertex],0)),1,1,"")</f>
        <v>4</v>
      </c>
      <c r="BD40" s="51"/>
      <c r="BE40" s="52"/>
      <c r="BF40" s="51"/>
      <c r="BG40" s="52"/>
      <c r="BH40" s="51"/>
      <c r="BI40" s="52"/>
      <c r="BJ40" s="51"/>
      <c r="BK40" s="52"/>
      <c r="BL40" s="51"/>
    </row>
    <row r="41" spans="1:64" ht="30">
      <c r="A41" s="84" t="s">
        <v>230</v>
      </c>
      <c r="B41" s="84" t="s">
        <v>230</v>
      </c>
      <c r="C41" s="53" t="s">
        <v>902</v>
      </c>
      <c r="D41" s="54">
        <v>3</v>
      </c>
      <c r="E41" s="65" t="s">
        <v>136</v>
      </c>
      <c r="F41" s="55">
        <v>19</v>
      </c>
      <c r="G41" s="53"/>
      <c r="H41" s="57"/>
      <c r="I41" s="56"/>
      <c r="J41" s="56"/>
      <c r="K41" s="36" t="s">
        <v>65</v>
      </c>
      <c r="L41" s="83">
        <v>41</v>
      </c>
      <c r="M41" s="83"/>
      <c r="N41" s="63"/>
      <c r="O41" s="86" t="s">
        <v>176</v>
      </c>
      <c r="P41" s="88">
        <v>43647.790289351855</v>
      </c>
      <c r="Q41" s="86" t="s">
        <v>257</v>
      </c>
      <c r="R41" s="86"/>
      <c r="S41" s="86"/>
      <c r="T41" s="86" t="s">
        <v>269</v>
      </c>
      <c r="U41" s="89" t="s">
        <v>278</v>
      </c>
      <c r="V41" s="89" t="s">
        <v>278</v>
      </c>
      <c r="W41" s="88">
        <v>43647.790289351855</v>
      </c>
      <c r="X41" s="89" t="s">
        <v>320</v>
      </c>
      <c r="Y41" s="86"/>
      <c r="Z41" s="86"/>
      <c r="AA41" s="92" t="s">
        <v>346</v>
      </c>
      <c r="AB41" s="86"/>
      <c r="AC41" s="86" t="b">
        <v>0</v>
      </c>
      <c r="AD41" s="86">
        <v>0</v>
      </c>
      <c r="AE41" s="92" t="s">
        <v>349</v>
      </c>
      <c r="AF41" s="86" t="b">
        <v>0</v>
      </c>
      <c r="AG41" s="86" t="s">
        <v>352</v>
      </c>
      <c r="AH41" s="86"/>
      <c r="AI41" s="92" t="s">
        <v>349</v>
      </c>
      <c r="AJ41" s="86" t="b">
        <v>0</v>
      </c>
      <c r="AK41" s="86">
        <v>0</v>
      </c>
      <c r="AL41" s="92" t="s">
        <v>349</v>
      </c>
      <c r="AM41" s="86" t="s">
        <v>359</v>
      </c>
      <c r="AN41" s="86" t="b">
        <v>0</v>
      </c>
      <c r="AO41" s="92" t="s">
        <v>346</v>
      </c>
      <c r="AP41" s="86" t="s">
        <v>176</v>
      </c>
      <c r="AQ41" s="86">
        <v>0</v>
      </c>
      <c r="AR41" s="86">
        <v>0</v>
      </c>
      <c r="AS41" s="86"/>
      <c r="AT41" s="86"/>
      <c r="AU41" s="86"/>
      <c r="AV41" s="86"/>
      <c r="AW41" s="86"/>
      <c r="AX41" s="86"/>
      <c r="AY41" s="86"/>
      <c r="AZ41" s="86"/>
      <c r="BA41">
        <v>2</v>
      </c>
      <c r="BB41" s="85" t="str">
        <f>REPLACE(INDEX(GroupVertices[Group],MATCH(Edges[[#This Row],[Vertex 1]],GroupVertices[Vertex],0)),1,1,"")</f>
        <v>4</v>
      </c>
      <c r="BC41" s="85" t="str">
        <f>REPLACE(INDEX(GroupVertices[Group],MATCH(Edges[[#This Row],[Vertex 2]],GroupVertices[Vertex],0)),1,1,"")</f>
        <v>4</v>
      </c>
      <c r="BD41" s="51">
        <v>0</v>
      </c>
      <c r="BE41" s="52">
        <v>0</v>
      </c>
      <c r="BF41" s="51">
        <v>0</v>
      </c>
      <c r="BG41" s="52">
        <v>0</v>
      </c>
      <c r="BH41" s="51">
        <v>0</v>
      </c>
      <c r="BI41" s="52">
        <v>0</v>
      </c>
      <c r="BJ41" s="51">
        <v>6</v>
      </c>
      <c r="BK41" s="52">
        <v>100</v>
      </c>
      <c r="BL41" s="51">
        <v>6</v>
      </c>
    </row>
    <row r="42" spans="1:64" ht="30">
      <c r="A42" s="84" t="s">
        <v>230</v>
      </c>
      <c r="B42" s="84" t="s">
        <v>230</v>
      </c>
      <c r="C42" s="53" t="s">
        <v>902</v>
      </c>
      <c r="D42" s="54">
        <v>3</v>
      </c>
      <c r="E42" s="65" t="s">
        <v>136</v>
      </c>
      <c r="F42" s="55">
        <v>19</v>
      </c>
      <c r="G42" s="53"/>
      <c r="H42" s="57"/>
      <c r="I42" s="56"/>
      <c r="J42" s="56"/>
      <c r="K42" s="36" t="s">
        <v>65</v>
      </c>
      <c r="L42" s="83">
        <v>42</v>
      </c>
      <c r="M42" s="83"/>
      <c r="N42" s="63"/>
      <c r="O42" s="86" t="s">
        <v>176</v>
      </c>
      <c r="P42" s="88">
        <v>43647.791493055556</v>
      </c>
      <c r="Q42" s="86" t="s">
        <v>258</v>
      </c>
      <c r="R42" s="86"/>
      <c r="S42" s="86"/>
      <c r="T42" s="86" t="s">
        <v>272</v>
      </c>
      <c r="U42" s="89" t="s">
        <v>279</v>
      </c>
      <c r="V42" s="89" t="s">
        <v>279</v>
      </c>
      <c r="W42" s="88">
        <v>43647.791493055556</v>
      </c>
      <c r="X42" s="89" t="s">
        <v>321</v>
      </c>
      <c r="Y42" s="86"/>
      <c r="Z42" s="86"/>
      <c r="AA42" s="92" t="s">
        <v>347</v>
      </c>
      <c r="AB42" s="86"/>
      <c r="AC42" s="86" t="b">
        <v>0</v>
      </c>
      <c r="AD42" s="86">
        <v>0</v>
      </c>
      <c r="AE42" s="92" t="s">
        <v>349</v>
      </c>
      <c r="AF42" s="86" t="b">
        <v>0</v>
      </c>
      <c r="AG42" s="86" t="s">
        <v>352</v>
      </c>
      <c r="AH42" s="86"/>
      <c r="AI42" s="92" t="s">
        <v>349</v>
      </c>
      <c r="AJ42" s="86" t="b">
        <v>0</v>
      </c>
      <c r="AK42" s="86">
        <v>0</v>
      </c>
      <c r="AL42" s="92" t="s">
        <v>349</v>
      </c>
      <c r="AM42" s="86" t="s">
        <v>359</v>
      </c>
      <c r="AN42" s="86" t="b">
        <v>0</v>
      </c>
      <c r="AO42" s="92" t="s">
        <v>347</v>
      </c>
      <c r="AP42" s="86" t="s">
        <v>176</v>
      </c>
      <c r="AQ42" s="86">
        <v>0</v>
      </c>
      <c r="AR42" s="86">
        <v>0</v>
      </c>
      <c r="AS42" s="86"/>
      <c r="AT42" s="86"/>
      <c r="AU42" s="86"/>
      <c r="AV42" s="86"/>
      <c r="AW42" s="86"/>
      <c r="AX42" s="86"/>
      <c r="AY42" s="86"/>
      <c r="AZ42" s="86"/>
      <c r="BA42">
        <v>2</v>
      </c>
      <c r="BB42" s="85" t="str">
        <f>REPLACE(INDEX(GroupVertices[Group],MATCH(Edges[[#This Row],[Vertex 1]],GroupVertices[Vertex],0)),1,1,"")</f>
        <v>4</v>
      </c>
      <c r="BC42" s="85" t="str">
        <f>REPLACE(INDEX(GroupVertices[Group],MATCH(Edges[[#This Row],[Vertex 2]],GroupVertices[Vertex],0)),1,1,"")</f>
        <v>4</v>
      </c>
      <c r="BD42" s="51">
        <v>0</v>
      </c>
      <c r="BE42" s="52">
        <v>0</v>
      </c>
      <c r="BF42" s="51">
        <v>0</v>
      </c>
      <c r="BG42" s="52">
        <v>0</v>
      </c>
      <c r="BH42" s="51">
        <v>0</v>
      </c>
      <c r="BI42" s="52">
        <v>0</v>
      </c>
      <c r="BJ42" s="51">
        <v>9</v>
      </c>
      <c r="BK42" s="52">
        <v>100</v>
      </c>
      <c r="BL42" s="51">
        <v>9</v>
      </c>
    </row>
    <row r="43" spans="1:64" ht="15">
      <c r="A43" s="84" t="s">
        <v>231</v>
      </c>
      <c r="B43" s="84" t="s">
        <v>230</v>
      </c>
      <c r="C43" s="53" t="s">
        <v>901</v>
      </c>
      <c r="D43" s="54">
        <v>3</v>
      </c>
      <c r="E43" s="65" t="s">
        <v>132</v>
      </c>
      <c r="F43" s="55">
        <v>32</v>
      </c>
      <c r="G43" s="53"/>
      <c r="H43" s="57"/>
      <c r="I43" s="56"/>
      <c r="J43" s="56"/>
      <c r="K43" s="36" t="s">
        <v>65</v>
      </c>
      <c r="L43" s="83">
        <v>43</v>
      </c>
      <c r="M43" s="83"/>
      <c r="N43" s="63"/>
      <c r="O43" s="86" t="s">
        <v>239</v>
      </c>
      <c r="P43" s="88">
        <v>43648.585231481484</v>
      </c>
      <c r="Q43" s="86" t="s">
        <v>256</v>
      </c>
      <c r="R43" s="86"/>
      <c r="S43" s="86"/>
      <c r="T43" s="86" t="s">
        <v>269</v>
      </c>
      <c r="U43" s="89" t="s">
        <v>277</v>
      </c>
      <c r="V43" s="89" t="s">
        <v>277</v>
      </c>
      <c r="W43" s="88">
        <v>43648.585231481484</v>
      </c>
      <c r="X43" s="89" t="s">
        <v>319</v>
      </c>
      <c r="Y43" s="86"/>
      <c r="Z43" s="86"/>
      <c r="AA43" s="92" t="s">
        <v>345</v>
      </c>
      <c r="AB43" s="86"/>
      <c r="AC43" s="86" t="b">
        <v>0</v>
      </c>
      <c r="AD43" s="86">
        <v>0</v>
      </c>
      <c r="AE43" s="92" t="s">
        <v>349</v>
      </c>
      <c r="AF43" s="86" t="b">
        <v>0</v>
      </c>
      <c r="AG43" s="86" t="s">
        <v>352</v>
      </c>
      <c r="AH43" s="86"/>
      <c r="AI43" s="92" t="s">
        <v>349</v>
      </c>
      <c r="AJ43" s="86" t="b">
        <v>0</v>
      </c>
      <c r="AK43" s="86">
        <v>1</v>
      </c>
      <c r="AL43" s="92" t="s">
        <v>344</v>
      </c>
      <c r="AM43" s="86" t="s">
        <v>359</v>
      </c>
      <c r="AN43" s="86" t="b">
        <v>0</v>
      </c>
      <c r="AO43" s="92" t="s">
        <v>344</v>
      </c>
      <c r="AP43" s="86" t="s">
        <v>176</v>
      </c>
      <c r="AQ43" s="86">
        <v>0</v>
      </c>
      <c r="AR43" s="86">
        <v>0</v>
      </c>
      <c r="AS43" s="86"/>
      <c r="AT43" s="86"/>
      <c r="AU43" s="86"/>
      <c r="AV43" s="86"/>
      <c r="AW43" s="86"/>
      <c r="AX43" s="86"/>
      <c r="AY43" s="86"/>
      <c r="AZ43" s="86"/>
      <c r="BA43">
        <v>1</v>
      </c>
      <c r="BB43" s="85" t="str">
        <f>REPLACE(INDEX(GroupVertices[Group],MATCH(Edges[[#This Row],[Vertex 1]],GroupVertices[Vertex],0)),1,1,"")</f>
        <v>4</v>
      </c>
      <c r="BC43" s="85" t="str">
        <f>REPLACE(INDEX(GroupVertices[Group],MATCH(Edges[[#This Row],[Vertex 2]],GroupVertices[Vertex],0)),1,1,"")</f>
        <v>4</v>
      </c>
      <c r="BD43" s="51">
        <v>0</v>
      </c>
      <c r="BE43" s="52">
        <v>0</v>
      </c>
      <c r="BF43" s="51">
        <v>0</v>
      </c>
      <c r="BG43" s="52">
        <v>0</v>
      </c>
      <c r="BH43" s="51">
        <v>0</v>
      </c>
      <c r="BI43" s="52">
        <v>0</v>
      </c>
      <c r="BJ43" s="51">
        <v>13</v>
      </c>
      <c r="BK43" s="52">
        <v>100</v>
      </c>
      <c r="BL43" s="51">
        <v>13</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3"/>
    <dataValidation allowBlank="1" showErrorMessage="1" sqref="N2:N4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3"/>
    <dataValidation allowBlank="1" showInputMessage="1" promptTitle="Edge Color" prompt="To select an optional edge color, right-click and select Select Color on the right-click menu." sqref="C3:C43"/>
    <dataValidation allowBlank="1" showInputMessage="1" promptTitle="Edge Width" prompt="Enter an optional edge width between 1 and 10." errorTitle="Invalid Edge Width" error="The optional edge width must be a whole number between 1 and 10." sqref="D3:D43"/>
    <dataValidation allowBlank="1" showInputMessage="1" promptTitle="Edge Opacity" prompt="Enter an optional edge opacity between 0 (transparent) and 100 (opaque)." errorTitle="Invalid Edge Opacity" error="The optional edge opacity must be a whole number between 0 and 10." sqref="F3:F4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3">
      <formula1>ValidEdgeVisibilities</formula1>
    </dataValidation>
    <dataValidation allowBlank="1" showInputMessage="1" showErrorMessage="1" promptTitle="Vertex 1 Name" prompt="Enter the name of the edge's first vertex." sqref="A3:A43"/>
    <dataValidation allowBlank="1" showInputMessage="1" showErrorMessage="1" promptTitle="Vertex 2 Name" prompt="Enter the name of the edge's second vertex." sqref="B3:B43"/>
    <dataValidation allowBlank="1" showInputMessage="1" showErrorMessage="1" promptTitle="Edge Label" prompt="Enter an optional edge label." errorTitle="Invalid Edge Visibility" error="You have entered an unrecognized edge visibility.  Try selecting from the drop-down list instead." sqref="H3:H4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3">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43"/>
  </dataValidations>
  <hyperlinks>
    <hyperlink ref="R27" r:id="rId1" display="https://pervade.umd.edu/event/websci-19/"/>
    <hyperlink ref="R32" r:id="rId2" display="https://www.nytimes.com/2019/06/30/opinion/immigrants-social-media.html"/>
    <hyperlink ref="R33" r:id="rId3" display="https://www.nytimes.com/2019/06/30/opinion/immigrants-social-media.html"/>
    <hyperlink ref="R34" r:id="rId4" display="https://www.khoury.northeastern.edu/general/acm-websci-19-at-northeastern-brings-together-experts-from-many-disciplines/"/>
    <hyperlink ref="R35" r:id="rId5" display="https://www.khoury.northeastern.edu/general/acm-websci-19-at-northeastern-brings-together-experts-from-many-disciplines/"/>
    <hyperlink ref="R38" r:id="rId6" display="https://twitter.com/CChelmis/status/1146043799187206144"/>
    <hyperlink ref="U9" r:id="rId7" display="https://pbs.twimg.com/media/D9282JEXYAETRnW.jpg"/>
    <hyperlink ref="U34" r:id="rId8" display="https://pbs.twimg.com/media/D-Fb8ELX4AEmJZS.jpg"/>
    <hyperlink ref="U35" r:id="rId9" display="https://pbs.twimg.com/media/D-aQCOuXsAAFLLq.jpg"/>
    <hyperlink ref="U37" r:id="rId10" display="https://pbs.twimg.com/media/D-ZIz-qVUAALFRg.jpg"/>
    <hyperlink ref="U39" r:id="rId11" display="https://pbs.twimg.com/media/D-eQ-PxUIAA1_07.jpg"/>
    <hyperlink ref="U40" r:id="rId12" display="https://pbs.twimg.com/media/D-eQ-PxUIAA1_07.jpg"/>
    <hyperlink ref="U41" r:id="rId13" display="https://pbs.twimg.com/media/D-aWaCEU8AAvxkC.jpg"/>
    <hyperlink ref="U42" r:id="rId14" display="https://pbs.twimg.com/media/D-aWzU9UwAArnP_.jpg"/>
    <hyperlink ref="U43" r:id="rId15" display="https://pbs.twimg.com/media/D-eQ-PxUIAA1_07.jpg"/>
    <hyperlink ref="V3" r:id="rId16" display="http://pbs.twimg.com/profile_images/864450427932114945/Ih-T5zEA_normal.jpg"/>
    <hyperlink ref="V4" r:id="rId17" display="http://pbs.twimg.com/profile_images/864450427932114945/Ih-T5zEA_normal.jpg"/>
    <hyperlink ref="V5" r:id="rId18" display="http://pbs.twimg.com/profile_images/841803825665187841/-Ok2hipH_normal.jpg"/>
    <hyperlink ref="V6" r:id="rId19" display="http://pbs.twimg.com/profile_images/841803825665187841/-Ok2hipH_normal.jpg"/>
    <hyperlink ref="V7" r:id="rId20" display="http://pbs.twimg.com/profile_images/882983595744165889/1cDtYfZV_normal.jpg"/>
    <hyperlink ref="V8" r:id="rId21" display="http://pbs.twimg.com/profile_images/882983595744165889/1cDtYfZV_normal.jpg"/>
    <hyperlink ref="V9" r:id="rId22" display="https://pbs.twimg.com/media/D9282JEXYAETRnW.jpg"/>
    <hyperlink ref="V10" r:id="rId23" display="http://pbs.twimg.com/profile_images/858732102862483456/rzI0kX-i_normal.jpg"/>
    <hyperlink ref="V11" r:id="rId24" display="http://pbs.twimg.com/profile_images/858732102862483456/rzI0kX-i_normal.jpg"/>
    <hyperlink ref="V12" r:id="rId25" display="http://pbs.twimg.com/profile_images/1137426815759376384/DkfmSuOK_normal.jpg"/>
    <hyperlink ref="V13" r:id="rId26" display="http://pbs.twimg.com/profile_images/1137426815759376384/DkfmSuOK_normal.jpg"/>
    <hyperlink ref="V14" r:id="rId27" display="http://pbs.twimg.com/profile_images/976301563869265920/WXyNjkFo_normal.jpg"/>
    <hyperlink ref="V15" r:id="rId28" display="http://pbs.twimg.com/profile_images/976301563869265920/WXyNjkFo_normal.jpg"/>
    <hyperlink ref="V16" r:id="rId29" display="http://pbs.twimg.com/profile_images/1087888820811558918/dwfYBqPD_normal.jpg"/>
    <hyperlink ref="V17" r:id="rId30" display="http://pbs.twimg.com/profile_images/1087888820811558918/dwfYBqPD_normal.jpg"/>
    <hyperlink ref="V18" r:id="rId31" display="http://pbs.twimg.com/profile_images/512724353432051712/u9vs2gOS_normal.jpeg"/>
    <hyperlink ref="V19" r:id="rId32" display="http://pbs.twimg.com/profile_images/512724353432051712/u9vs2gOS_normal.jpeg"/>
    <hyperlink ref="V20" r:id="rId33" display="http://pbs.twimg.com/profile_images/769933008250044416/3iCc7nAn_normal.jpg"/>
    <hyperlink ref="V21" r:id="rId34" display="http://pbs.twimg.com/profile_images/769933008250044416/3iCc7nAn_normal.jpg"/>
    <hyperlink ref="V22" r:id="rId35" display="http://pbs.twimg.com/profile_images/3464150917/7618ea0fe388b345e2450cee465a4ea1_normal.jpeg"/>
    <hyperlink ref="V23" r:id="rId36" display="http://pbs.twimg.com/profile_images/3464150917/7618ea0fe388b345e2450cee465a4ea1_normal.jpeg"/>
    <hyperlink ref="V24" r:id="rId37" display="http://pbs.twimg.com/profile_images/1025114534095273986/pnFxrGbv_normal.jpg"/>
    <hyperlink ref="V25" r:id="rId38" display="http://pbs.twimg.com/profile_images/728984748677341184/a42Pkbh3_normal.jpg"/>
    <hyperlink ref="V26" r:id="rId39" display="http://pbs.twimg.com/profile_images/728984748677341184/a42Pkbh3_normal.jpg"/>
    <hyperlink ref="V27" r:id="rId40" display="http://pbs.twimg.com/profile_images/931731378621812736/w8VzS6SD_normal.jpg"/>
    <hyperlink ref="V28" r:id="rId41" display="http://pbs.twimg.com/profile_images/931731378621812736/w8VzS6SD_normal.jpg"/>
    <hyperlink ref="V29" r:id="rId42" display="http://pbs.twimg.com/profile_images/754859214544175104/7Xk06_Hr_normal.jpg"/>
    <hyperlink ref="V30" r:id="rId43" display="http://pbs.twimg.com/profile_images/931731378621812736/w8VzS6SD_normal.jpg"/>
    <hyperlink ref="V31" r:id="rId44" display="http://pbs.twimg.com/profile_images/754859214544175104/7Xk06_Hr_normal.jpg"/>
    <hyperlink ref="V32" r:id="rId45" display="http://pbs.twimg.com/profile_images/1205664680/erickson_twit_normal.jpg"/>
    <hyperlink ref="V33" r:id="rId46" display="http://pbs.twimg.com/profile_images/1205664680/erickson_twit_normal.jpg"/>
    <hyperlink ref="V34" r:id="rId47" display="https://pbs.twimg.com/media/D-Fb8ELX4AEmJZS.jpg"/>
    <hyperlink ref="V35" r:id="rId48" display="https://pbs.twimg.com/media/D-aQCOuXsAAFLLq.jpg"/>
    <hyperlink ref="V36" r:id="rId49" display="http://pbs.twimg.com/profile_images/378800000697318472/3ac4ee14df618921c5617e6fc0d6c092_normal.jpeg"/>
    <hyperlink ref="V37" r:id="rId50" display="https://pbs.twimg.com/media/D-ZIz-qVUAALFRg.jpg"/>
    <hyperlink ref="V38" r:id="rId51" display="http://pbs.twimg.com/profile_images/378800000697318472/3ac4ee14df618921c5617e6fc0d6c092_normal.jpeg"/>
    <hyperlink ref="V39" r:id="rId52" display="https://pbs.twimg.com/media/D-eQ-PxUIAA1_07.jpg"/>
    <hyperlink ref="V40" r:id="rId53" display="https://pbs.twimg.com/media/D-eQ-PxUIAA1_07.jpg"/>
    <hyperlink ref="V41" r:id="rId54" display="https://pbs.twimg.com/media/D-aWaCEU8AAvxkC.jpg"/>
    <hyperlink ref="V42" r:id="rId55" display="https://pbs.twimg.com/media/D-aWzU9UwAArnP_.jpg"/>
    <hyperlink ref="V43" r:id="rId56" display="https://pbs.twimg.com/media/D-eQ-PxUIAA1_07.jpg"/>
    <hyperlink ref="X3" r:id="rId57" display="https://twitter.com/#!/rebekahktromble/status/1143180934373609473"/>
    <hyperlink ref="X4" r:id="rId58" display="https://twitter.com/#!/rebekahktromble/status/1143180934373609473"/>
    <hyperlink ref="X5" r:id="rId59" display="https://twitter.com/#!/jhblackb/status/1143278279056605184"/>
    <hyperlink ref="X6" r:id="rId60" display="https://twitter.com/#!/jhblackb/status/1143278279056605184"/>
    <hyperlink ref="X7" r:id="rId61" display="https://twitter.com/#!/idramalab/status/1143278323646287872"/>
    <hyperlink ref="X8" r:id="rId62" display="https://twitter.com/#!/idramalab/status/1143278323646287872"/>
    <hyperlink ref="X9" r:id="rId63" display="https://twitter.com/#!/emilianoucl/status/1143277735839711232"/>
    <hyperlink ref="X10" r:id="rId64" display="https://twitter.com/#!/gianluca_string/status/1143278517733535745"/>
    <hyperlink ref="X11" r:id="rId65" display="https://twitter.com/#!/gianluca_string/status/1143278517733535745"/>
    <hyperlink ref="X12" r:id="rId66" display="https://twitter.com/#!/diegocaro/status/1145015127407767554"/>
    <hyperlink ref="X13" r:id="rId67" display="https://twitter.com/#!/diegocaro/status/1145015127407767554"/>
    <hyperlink ref="X14" r:id="rId68" display="https://twitter.com/#!/gonzalobarria/status/1145019813661741056"/>
    <hyperlink ref="X15" r:id="rId69" display="https://twitter.com/#!/gonzalobarria/status/1145019813661741056"/>
    <hyperlink ref="X16" r:id="rId70" display="https://twitter.com/#!/pauvasquezh/status/1145082300117540869"/>
    <hyperlink ref="X17" r:id="rId71" display="https://twitter.com/#!/pauvasquezh/status/1145082300117540869"/>
    <hyperlink ref="X18" r:id="rId72" display="https://twitter.com/#!/aastroza/status/1145134995847168000"/>
    <hyperlink ref="X19" r:id="rId73" display="https://twitter.com/#!/aastroza/status/1145134995847168000"/>
    <hyperlink ref="X20" r:id="rId74" display="https://twitter.com/#!/franvarela/status/1145341694747041793"/>
    <hyperlink ref="X21" r:id="rId75" display="https://twitter.com/#!/franvarela/status/1145341694747041793"/>
    <hyperlink ref="X22" r:id="rId76" display="https://twitter.com/#!/elmanujano/status/1145359922202386434"/>
    <hyperlink ref="X23" r:id="rId77" display="https://twitter.com/#!/elmanujano/status/1145359922202386434"/>
    <hyperlink ref="X24" r:id="rId78" display="https://twitter.com/#!/carnby/status/1145013848279322627"/>
    <hyperlink ref="X25" r:id="rId79" display="https://twitter.com/#!/congosto/status/1145378294780575744"/>
    <hyperlink ref="X26" r:id="rId80" display="https://twitter.com/#!/congosto/status/1145378294780575744"/>
    <hyperlink ref="X27" r:id="rId81" display="https://twitter.com/#!/michaelzimmer/status/1143176228196798465"/>
    <hyperlink ref="X28" r:id="rId82" display="https://twitter.com/#!/michaelzimmer/status/1145448887345385472"/>
    <hyperlink ref="X29" r:id="rId83" display="https://twitter.com/#!/jvitak/status/1145463292904783872"/>
    <hyperlink ref="X30" r:id="rId84" display="https://twitter.com/#!/michaelzimmer/status/1145448887345385472"/>
    <hyperlink ref="X31" r:id="rId85" display="https://twitter.com/#!/jvitak/status/1145463292904783872"/>
    <hyperlink ref="X32" r:id="rId86" display="https://twitter.com/#!/olyerickson/status/1145633166499241984"/>
    <hyperlink ref="X33" r:id="rId87" display="https://twitter.com/#!/olyerickson/status/1145633166499241984"/>
    <hyperlink ref="X34" r:id="rId88" display="https://twitter.com/#!/khourycollege/status/1144296869532766208"/>
    <hyperlink ref="X35" r:id="rId89" display="https://twitter.com/#!/khourycollege/status/1145761536469798914"/>
    <hyperlink ref="X36" r:id="rId90" display="https://twitter.com/#!/miz_oka/status/1145659899281641472"/>
    <hyperlink ref="X37" r:id="rId91" display="https://twitter.com/#!/miz_oka/status/1145683226607833088"/>
    <hyperlink ref="X38" r:id="rId92" display="https://twitter.com/#!/miz_oka/status/1146044184144388096"/>
    <hyperlink ref="X39" r:id="rId93" display="https://twitter.com/#!/exdwarf/status/1146044054095818752"/>
    <hyperlink ref="X40" r:id="rId94" display="https://twitter.com/#!/damewendydbe/status/1146056613901418498"/>
    <hyperlink ref="X41" r:id="rId95" display="https://twitter.com/#!/exdwarf/status/1145768538247815169"/>
    <hyperlink ref="X42" r:id="rId96" display="https://twitter.com/#!/exdwarf/status/1145768973994094592"/>
    <hyperlink ref="X43" r:id="rId97" display="https://twitter.com/#!/damewendydbe/status/1146056613901418498"/>
  </hyperlinks>
  <printOptions/>
  <pageMargins left="0.7" right="0.7" top="0.75" bottom="0.75" header="0.3" footer="0.3"/>
  <pageSetup horizontalDpi="600" verticalDpi="600" orientation="portrait" r:id="rId101"/>
  <legacyDrawing r:id="rId99"/>
  <tableParts>
    <tablePart r:id="rId100"/>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8"/>
  <sheetViews>
    <sheetView workbookViewId="0" topLeftCell="A1"/>
  </sheetViews>
  <sheetFormatPr defaultColWidth="9.140625" defaultRowHeight="15"/>
  <cols>
    <col min="1" max="1" width="8.00390625" style="0" bestFit="1" customWidth="1"/>
    <col min="2" max="2" width="8.421875" style="0" bestFit="1" customWidth="1"/>
    <col min="3" max="3" width="10.57421875" style="0" bestFit="1" customWidth="1"/>
    <col min="4" max="4" width="8.57421875" style="0" bestFit="1" customWidth="1"/>
    <col min="5" max="5" width="35.140625" style="0" bestFit="1" customWidth="1"/>
    <col min="6" max="6" width="36.140625" style="0" bestFit="1" customWidth="1"/>
    <col min="7" max="7" width="40.8515625" style="0" bestFit="1" customWidth="1"/>
  </cols>
  <sheetData>
    <row r="1" spans="1:7" ht="15" customHeight="1">
      <c r="A1" s="13" t="s">
        <v>860</v>
      </c>
      <c r="B1" s="13" t="s">
        <v>873</v>
      </c>
      <c r="C1" s="13" t="s">
        <v>874</v>
      </c>
      <c r="D1" s="13" t="s">
        <v>144</v>
      </c>
      <c r="E1" s="13" t="s">
        <v>876</v>
      </c>
      <c r="F1" s="13" t="s">
        <v>877</v>
      </c>
      <c r="G1" s="13" t="s">
        <v>878</v>
      </c>
    </row>
    <row r="2" spans="1:7" ht="15">
      <c r="A2" s="85" t="s">
        <v>680</v>
      </c>
      <c r="B2" s="85">
        <v>4</v>
      </c>
      <c r="C2" s="133">
        <v>0.007952286282306164</v>
      </c>
      <c r="D2" s="85" t="s">
        <v>875</v>
      </c>
      <c r="E2" s="85"/>
      <c r="F2" s="85"/>
      <c r="G2" s="85"/>
    </row>
    <row r="3" spans="1:7" ht="15">
      <c r="A3" s="85" t="s">
        <v>681</v>
      </c>
      <c r="B3" s="85">
        <v>3</v>
      </c>
      <c r="C3" s="133">
        <v>0.005964214711729622</v>
      </c>
      <c r="D3" s="85" t="s">
        <v>875</v>
      </c>
      <c r="E3" s="85"/>
      <c r="F3" s="85"/>
      <c r="G3" s="85"/>
    </row>
    <row r="4" spans="1:7" ht="15">
      <c r="A4" s="85" t="s">
        <v>682</v>
      </c>
      <c r="B4" s="85">
        <v>0</v>
      </c>
      <c r="C4" s="133">
        <v>0</v>
      </c>
      <c r="D4" s="85" t="s">
        <v>875</v>
      </c>
      <c r="E4" s="85"/>
      <c r="F4" s="85"/>
      <c r="G4" s="85"/>
    </row>
    <row r="5" spans="1:7" ht="15">
      <c r="A5" s="85" t="s">
        <v>683</v>
      </c>
      <c r="B5" s="85">
        <v>496</v>
      </c>
      <c r="C5" s="133">
        <v>0.9860834990059643</v>
      </c>
      <c r="D5" s="85" t="s">
        <v>875</v>
      </c>
      <c r="E5" s="85"/>
      <c r="F5" s="85"/>
      <c r="G5" s="85"/>
    </row>
    <row r="6" spans="1:7" ht="15">
      <c r="A6" s="85" t="s">
        <v>684</v>
      </c>
      <c r="B6" s="85">
        <v>503</v>
      </c>
      <c r="C6" s="133">
        <v>1</v>
      </c>
      <c r="D6" s="85" t="s">
        <v>875</v>
      </c>
      <c r="E6" s="85"/>
      <c r="F6" s="85"/>
      <c r="G6" s="85"/>
    </row>
    <row r="7" spans="1:7" ht="15">
      <c r="A7" s="91" t="s">
        <v>685</v>
      </c>
      <c r="B7" s="91">
        <v>13</v>
      </c>
      <c r="C7" s="134">
        <v>0.011245373401240677</v>
      </c>
      <c r="D7" s="91" t="s">
        <v>875</v>
      </c>
      <c r="E7" s="91" t="b">
        <v>0</v>
      </c>
      <c r="F7" s="91" t="b">
        <v>0</v>
      </c>
      <c r="G7" s="91" t="b">
        <v>0</v>
      </c>
    </row>
    <row r="8" spans="1:7" ht="15">
      <c r="A8" s="91" t="s">
        <v>686</v>
      </c>
      <c r="B8" s="91">
        <v>10</v>
      </c>
      <c r="C8" s="134">
        <v>0.01192452149341431</v>
      </c>
      <c r="D8" s="91" t="s">
        <v>875</v>
      </c>
      <c r="E8" s="91" t="b">
        <v>0</v>
      </c>
      <c r="F8" s="91" t="b">
        <v>0</v>
      </c>
      <c r="G8" s="91" t="b">
        <v>0</v>
      </c>
    </row>
    <row r="9" spans="1:7" ht="15">
      <c r="A9" s="91" t="s">
        <v>668</v>
      </c>
      <c r="B9" s="91">
        <v>9</v>
      </c>
      <c r="C9" s="134">
        <v>0.011915452720642063</v>
      </c>
      <c r="D9" s="91" t="s">
        <v>875</v>
      </c>
      <c r="E9" s="91" t="b">
        <v>0</v>
      </c>
      <c r="F9" s="91" t="b">
        <v>0</v>
      </c>
      <c r="G9" s="91" t="b">
        <v>0</v>
      </c>
    </row>
    <row r="10" spans="1:7" ht="15">
      <c r="A10" s="91" t="s">
        <v>687</v>
      </c>
      <c r="B10" s="91">
        <v>9</v>
      </c>
      <c r="C10" s="134">
        <v>0.011915452720642063</v>
      </c>
      <c r="D10" s="91" t="s">
        <v>875</v>
      </c>
      <c r="E10" s="91" t="b">
        <v>0</v>
      </c>
      <c r="F10" s="91" t="b">
        <v>0</v>
      </c>
      <c r="G10" s="91" t="b">
        <v>0</v>
      </c>
    </row>
    <row r="11" spans="1:7" ht="15">
      <c r="A11" s="91" t="s">
        <v>688</v>
      </c>
      <c r="B11" s="91">
        <v>8</v>
      </c>
      <c r="C11" s="134">
        <v>0.011767433585721248</v>
      </c>
      <c r="D11" s="91" t="s">
        <v>875</v>
      </c>
      <c r="E11" s="91" t="b">
        <v>0</v>
      </c>
      <c r="F11" s="91" t="b">
        <v>0</v>
      </c>
      <c r="G11" s="91" t="b">
        <v>0</v>
      </c>
    </row>
    <row r="12" spans="1:7" ht="15">
      <c r="A12" s="91" t="s">
        <v>690</v>
      </c>
      <c r="B12" s="91">
        <v>8</v>
      </c>
      <c r="C12" s="134">
        <v>0.011767433585721248</v>
      </c>
      <c r="D12" s="91" t="s">
        <v>875</v>
      </c>
      <c r="E12" s="91" t="b">
        <v>0</v>
      </c>
      <c r="F12" s="91" t="b">
        <v>0</v>
      </c>
      <c r="G12" s="91" t="b">
        <v>0</v>
      </c>
    </row>
    <row r="13" spans="1:7" ht="15">
      <c r="A13" s="91" t="s">
        <v>691</v>
      </c>
      <c r="B13" s="91">
        <v>8</v>
      </c>
      <c r="C13" s="134">
        <v>0.011767433585721248</v>
      </c>
      <c r="D13" s="91" t="s">
        <v>875</v>
      </c>
      <c r="E13" s="91" t="b">
        <v>0</v>
      </c>
      <c r="F13" s="91" t="b">
        <v>0</v>
      </c>
      <c r="G13" s="91" t="b">
        <v>0</v>
      </c>
    </row>
    <row r="14" spans="1:7" ht="15">
      <c r="A14" s="91" t="s">
        <v>692</v>
      </c>
      <c r="B14" s="91">
        <v>8</v>
      </c>
      <c r="C14" s="134">
        <v>0.011767433585721248</v>
      </c>
      <c r="D14" s="91" t="s">
        <v>875</v>
      </c>
      <c r="E14" s="91" t="b">
        <v>0</v>
      </c>
      <c r="F14" s="91" t="b">
        <v>0</v>
      </c>
      <c r="G14" s="91" t="b">
        <v>0</v>
      </c>
    </row>
    <row r="15" spans="1:7" ht="15">
      <c r="A15" s="91" t="s">
        <v>234</v>
      </c>
      <c r="B15" s="91">
        <v>8</v>
      </c>
      <c r="C15" s="134">
        <v>0.011767433585721248</v>
      </c>
      <c r="D15" s="91" t="s">
        <v>875</v>
      </c>
      <c r="E15" s="91" t="b">
        <v>0</v>
      </c>
      <c r="F15" s="91" t="b">
        <v>0</v>
      </c>
      <c r="G15" s="91" t="b">
        <v>0</v>
      </c>
    </row>
    <row r="16" spans="1:7" ht="15">
      <c r="A16" s="91" t="s">
        <v>693</v>
      </c>
      <c r="B16" s="91">
        <v>8</v>
      </c>
      <c r="C16" s="134">
        <v>0.011767433585721248</v>
      </c>
      <c r="D16" s="91" t="s">
        <v>875</v>
      </c>
      <c r="E16" s="91" t="b">
        <v>0</v>
      </c>
      <c r="F16" s="91" t="b">
        <v>0</v>
      </c>
      <c r="G16" s="91" t="b">
        <v>0</v>
      </c>
    </row>
    <row r="17" spans="1:7" ht="15">
      <c r="A17" s="91" t="s">
        <v>694</v>
      </c>
      <c r="B17" s="91">
        <v>8</v>
      </c>
      <c r="C17" s="134">
        <v>0.011767433585721248</v>
      </c>
      <c r="D17" s="91" t="s">
        <v>875</v>
      </c>
      <c r="E17" s="91" t="b">
        <v>0</v>
      </c>
      <c r="F17" s="91" t="b">
        <v>0</v>
      </c>
      <c r="G17" s="91" t="b">
        <v>0</v>
      </c>
    </row>
    <row r="18" spans="1:7" ht="15">
      <c r="A18" s="91" t="s">
        <v>695</v>
      </c>
      <c r="B18" s="91">
        <v>8</v>
      </c>
      <c r="C18" s="134">
        <v>0.011767433585721248</v>
      </c>
      <c r="D18" s="91" t="s">
        <v>875</v>
      </c>
      <c r="E18" s="91" t="b">
        <v>0</v>
      </c>
      <c r="F18" s="91" t="b">
        <v>0</v>
      </c>
      <c r="G18" s="91" t="b">
        <v>0</v>
      </c>
    </row>
    <row r="19" spans="1:7" ht="15">
      <c r="A19" s="91" t="s">
        <v>861</v>
      </c>
      <c r="B19" s="91">
        <v>8</v>
      </c>
      <c r="C19" s="134">
        <v>0.011767433585721248</v>
      </c>
      <c r="D19" s="91" t="s">
        <v>875</v>
      </c>
      <c r="E19" s="91" t="b">
        <v>0</v>
      </c>
      <c r="F19" s="91" t="b">
        <v>0</v>
      </c>
      <c r="G19" s="91" t="b">
        <v>0</v>
      </c>
    </row>
    <row r="20" spans="1:7" ht="15">
      <c r="A20" s="91" t="s">
        <v>862</v>
      </c>
      <c r="B20" s="91">
        <v>8</v>
      </c>
      <c r="C20" s="134">
        <v>0.011767433585721248</v>
      </c>
      <c r="D20" s="91" t="s">
        <v>875</v>
      </c>
      <c r="E20" s="91" t="b">
        <v>0</v>
      </c>
      <c r="F20" s="91" t="b">
        <v>0</v>
      </c>
      <c r="G20" s="91" t="b">
        <v>0</v>
      </c>
    </row>
    <row r="21" spans="1:7" ht="15">
      <c r="A21" s="91" t="s">
        <v>863</v>
      </c>
      <c r="B21" s="91">
        <v>8</v>
      </c>
      <c r="C21" s="134">
        <v>0.011767433585721248</v>
      </c>
      <c r="D21" s="91" t="s">
        <v>875</v>
      </c>
      <c r="E21" s="91" t="b">
        <v>0</v>
      </c>
      <c r="F21" s="91" t="b">
        <v>0</v>
      </c>
      <c r="G21" s="91" t="b">
        <v>0</v>
      </c>
    </row>
    <row r="22" spans="1:7" ht="15">
      <c r="A22" s="91" t="s">
        <v>223</v>
      </c>
      <c r="B22" s="91">
        <v>7</v>
      </c>
      <c r="C22" s="134">
        <v>0.011463009068091747</v>
      </c>
      <c r="D22" s="91" t="s">
        <v>875</v>
      </c>
      <c r="E22" s="91" t="b">
        <v>0</v>
      </c>
      <c r="F22" s="91" t="b">
        <v>0</v>
      </c>
      <c r="G22" s="91" t="b">
        <v>0</v>
      </c>
    </row>
    <row r="23" spans="1:7" ht="15">
      <c r="A23" s="91" t="s">
        <v>864</v>
      </c>
      <c r="B23" s="91">
        <v>7</v>
      </c>
      <c r="C23" s="134">
        <v>0.011463009068091747</v>
      </c>
      <c r="D23" s="91" t="s">
        <v>875</v>
      </c>
      <c r="E23" s="91" t="b">
        <v>0</v>
      </c>
      <c r="F23" s="91" t="b">
        <v>0</v>
      </c>
      <c r="G23" s="91" t="b">
        <v>0</v>
      </c>
    </row>
    <row r="24" spans="1:7" ht="15">
      <c r="A24" s="91" t="s">
        <v>709</v>
      </c>
      <c r="B24" s="91">
        <v>6</v>
      </c>
      <c r="C24" s="134">
        <v>0.010979691337709901</v>
      </c>
      <c r="D24" s="91" t="s">
        <v>875</v>
      </c>
      <c r="E24" s="91" t="b">
        <v>0</v>
      </c>
      <c r="F24" s="91" t="b">
        <v>0</v>
      </c>
      <c r="G24" s="91" t="b">
        <v>0</v>
      </c>
    </row>
    <row r="25" spans="1:7" ht="15">
      <c r="A25" s="91" t="s">
        <v>712</v>
      </c>
      <c r="B25" s="91">
        <v>5</v>
      </c>
      <c r="C25" s="134">
        <v>0.010287404362568954</v>
      </c>
      <c r="D25" s="91" t="s">
        <v>875</v>
      </c>
      <c r="E25" s="91" t="b">
        <v>0</v>
      </c>
      <c r="F25" s="91" t="b">
        <v>0</v>
      </c>
      <c r="G25" s="91" t="b">
        <v>0</v>
      </c>
    </row>
    <row r="26" spans="1:7" ht="15">
      <c r="A26" s="91" t="s">
        <v>705</v>
      </c>
      <c r="B26" s="91">
        <v>5</v>
      </c>
      <c r="C26" s="134">
        <v>0.010287404362568954</v>
      </c>
      <c r="D26" s="91" t="s">
        <v>875</v>
      </c>
      <c r="E26" s="91" t="b">
        <v>0</v>
      </c>
      <c r="F26" s="91" t="b">
        <v>0</v>
      </c>
      <c r="G26" s="91" t="b">
        <v>0</v>
      </c>
    </row>
    <row r="27" spans="1:7" ht="15">
      <c r="A27" s="91" t="s">
        <v>710</v>
      </c>
      <c r="B27" s="91">
        <v>5</v>
      </c>
      <c r="C27" s="134">
        <v>0.010287404362568954</v>
      </c>
      <c r="D27" s="91" t="s">
        <v>875</v>
      </c>
      <c r="E27" s="91" t="b">
        <v>0</v>
      </c>
      <c r="F27" s="91" t="b">
        <v>0</v>
      </c>
      <c r="G27" s="91" t="b">
        <v>0</v>
      </c>
    </row>
    <row r="28" spans="1:7" ht="15">
      <c r="A28" s="91" t="s">
        <v>721</v>
      </c>
      <c r="B28" s="91">
        <v>4</v>
      </c>
      <c r="C28" s="134">
        <v>0.009343831685550063</v>
      </c>
      <c r="D28" s="91" t="s">
        <v>875</v>
      </c>
      <c r="E28" s="91" t="b">
        <v>0</v>
      </c>
      <c r="F28" s="91" t="b">
        <v>0</v>
      </c>
      <c r="G28" s="91" t="b">
        <v>0</v>
      </c>
    </row>
    <row r="29" spans="1:7" ht="15">
      <c r="A29" s="91" t="s">
        <v>703</v>
      </c>
      <c r="B29" s="91">
        <v>4</v>
      </c>
      <c r="C29" s="134">
        <v>0.009343831685550063</v>
      </c>
      <c r="D29" s="91" t="s">
        <v>875</v>
      </c>
      <c r="E29" s="91" t="b">
        <v>0</v>
      </c>
      <c r="F29" s="91" t="b">
        <v>0</v>
      </c>
      <c r="G29" s="91" t="b">
        <v>0</v>
      </c>
    </row>
    <row r="30" spans="1:7" ht="15">
      <c r="A30" s="91" t="s">
        <v>233</v>
      </c>
      <c r="B30" s="91">
        <v>4</v>
      </c>
      <c r="C30" s="134">
        <v>0.009343831685550063</v>
      </c>
      <c r="D30" s="91" t="s">
        <v>875</v>
      </c>
      <c r="E30" s="91" t="b">
        <v>0</v>
      </c>
      <c r="F30" s="91" t="b">
        <v>0</v>
      </c>
      <c r="G30" s="91" t="b">
        <v>0</v>
      </c>
    </row>
    <row r="31" spans="1:7" ht="15">
      <c r="A31" s="91" t="s">
        <v>704</v>
      </c>
      <c r="B31" s="91">
        <v>4</v>
      </c>
      <c r="C31" s="134">
        <v>0.009343831685550063</v>
      </c>
      <c r="D31" s="91" t="s">
        <v>875</v>
      </c>
      <c r="E31" s="91" t="b">
        <v>0</v>
      </c>
      <c r="F31" s="91" t="b">
        <v>0</v>
      </c>
      <c r="G31" s="91" t="b">
        <v>0</v>
      </c>
    </row>
    <row r="32" spans="1:7" ht="15">
      <c r="A32" s="91" t="s">
        <v>706</v>
      </c>
      <c r="B32" s="91">
        <v>4</v>
      </c>
      <c r="C32" s="134">
        <v>0.009343831685550063</v>
      </c>
      <c r="D32" s="91" t="s">
        <v>875</v>
      </c>
      <c r="E32" s="91" t="b">
        <v>0</v>
      </c>
      <c r="F32" s="91" t="b">
        <v>0</v>
      </c>
      <c r="G32" s="91" t="b">
        <v>0</v>
      </c>
    </row>
    <row r="33" spans="1:7" ht="15">
      <c r="A33" s="91" t="s">
        <v>707</v>
      </c>
      <c r="B33" s="91">
        <v>4</v>
      </c>
      <c r="C33" s="134">
        <v>0.009343831685550063</v>
      </c>
      <c r="D33" s="91" t="s">
        <v>875</v>
      </c>
      <c r="E33" s="91" t="b">
        <v>0</v>
      </c>
      <c r="F33" s="91" t="b">
        <v>0</v>
      </c>
      <c r="G33" s="91" t="b">
        <v>0</v>
      </c>
    </row>
    <row r="34" spans="1:7" ht="15">
      <c r="A34" s="91" t="s">
        <v>708</v>
      </c>
      <c r="B34" s="91">
        <v>4</v>
      </c>
      <c r="C34" s="134">
        <v>0.009343831685550063</v>
      </c>
      <c r="D34" s="91" t="s">
        <v>875</v>
      </c>
      <c r="E34" s="91" t="b">
        <v>0</v>
      </c>
      <c r="F34" s="91" t="b">
        <v>0</v>
      </c>
      <c r="G34" s="91" t="b">
        <v>0</v>
      </c>
    </row>
    <row r="35" spans="1:7" ht="15">
      <c r="A35" s="91" t="s">
        <v>713</v>
      </c>
      <c r="B35" s="91">
        <v>3</v>
      </c>
      <c r="C35" s="134">
        <v>0.00808493183837203</v>
      </c>
      <c r="D35" s="91" t="s">
        <v>875</v>
      </c>
      <c r="E35" s="91" t="b">
        <v>0</v>
      </c>
      <c r="F35" s="91" t="b">
        <v>0</v>
      </c>
      <c r="G35" s="91" t="b">
        <v>0</v>
      </c>
    </row>
    <row r="36" spans="1:7" ht="15">
      <c r="A36" s="91" t="s">
        <v>714</v>
      </c>
      <c r="B36" s="91">
        <v>3</v>
      </c>
      <c r="C36" s="134">
        <v>0.00808493183837203</v>
      </c>
      <c r="D36" s="91" t="s">
        <v>875</v>
      </c>
      <c r="E36" s="91" t="b">
        <v>0</v>
      </c>
      <c r="F36" s="91" t="b">
        <v>0</v>
      </c>
      <c r="G36" s="91" t="b">
        <v>0</v>
      </c>
    </row>
    <row r="37" spans="1:7" ht="15">
      <c r="A37" s="91" t="s">
        <v>715</v>
      </c>
      <c r="B37" s="91">
        <v>3</v>
      </c>
      <c r="C37" s="134">
        <v>0.00808493183837203</v>
      </c>
      <c r="D37" s="91" t="s">
        <v>875</v>
      </c>
      <c r="E37" s="91" t="b">
        <v>0</v>
      </c>
      <c r="F37" s="91" t="b">
        <v>0</v>
      </c>
      <c r="G37" s="91" t="b">
        <v>0</v>
      </c>
    </row>
    <row r="38" spans="1:7" ht="15">
      <c r="A38" s="91" t="s">
        <v>669</v>
      </c>
      <c r="B38" s="91">
        <v>3</v>
      </c>
      <c r="C38" s="134">
        <v>0.00808493183837203</v>
      </c>
      <c r="D38" s="91" t="s">
        <v>875</v>
      </c>
      <c r="E38" s="91" t="b">
        <v>0</v>
      </c>
      <c r="F38" s="91" t="b">
        <v>0</v>
      </c>
      <c r="G38" s="91" t="b">
        <v>0</v>
      </c>
    </row>
    <row r="39" spans="1:7" ht="15">
      <c r="A39" s="91" t="s">
        <v>215</v>
      </c>
      <c r="B39" s="91">
        <v>3</v>
      </c>
      <c r="C39" s="134">
        <v>0.00808493183837203</v>
      </c>
      <c r="D39" s="91" t="s">
        <v>875</v>
      </c>
      <c r="E39" s="91" t="b">
        <v>0</v>
      </c>
      <c r="F39" s="91" t="b">
        <v>0</v>
      </c>
      <c r="G39" s="91" t="b">
        <v>0</v>
      </c>
    </row>
    <row r="40" spans="1:7" ht="15">
      <c r="A40" s="91" t="s">
        <v>865</v>
      </c>
      <c r="B40" s="91">
        <v>3</v>
      </c>
      <c r="C40" s="134">
        <v>0.00808493183837203</v>
      </c>
      <c r="D40" s="91" t="s">
        <v>875</v>
      </c>
      <c r="E40" s="91" t="b">
        <v>0</v>
      </c>
      <c r="F40" s="91" t="b">
        <v>0</v>
      </c>
      <c r="G40" s="91" t="b">
        <v>0</v>
      </c>
    </row>
    <row r="41" spans="1:7" ht="15">
      <c r="A41" s="91" t="s">
        <v>230</v>
      </c>
      <c r="B41" s="91">
        <v>2</v>
      </c>
      <c r="C41" s="134">
        <v>0.006401973289119751</v>
      </c>
      <c r="D41" s="91" t="s">
        <v>875</v>
      </c>
      <c r="E41" s="91" t="b">
        <v>0</v>
      </c>
      <c r="F41" s="91" t="b">
        <v>0</v>
      </c>
      <c r="G41" s="91" t="b">
        <v>0</v>
      </c>
    </row>
    <row r="42" spans="1:7" ht="15">
      <c r="A42" s="91" t="s">
        <v>716</v>
      </c>
      <c r="B42" s="91">
        <v>2</v>
      </c>
      <c r="C42" s="134">
        <v>0.006401973289119751</v>
      </c>
      <c r="D42" s="91" t="s">
        <v>875</v>
      </c>
      <c r="E42" s="91" t="b">
        <v>0</v>
      </c>
      <c r="F42" s="91" t="b">
        <v>0</v>
      </c>
      <c r="G42" s="91" t="b">
        <v>0</v>
      </c>
    </row>
    <row r="43" spans="1:7" ht="15">
      <c r="A43" s="91" t="s">
        <v>238</v>
      </c>
      <c r="B43" s="91">
        <v>2</v>
      </c>
      <c r="C43" s="134">
        <v>0.006401973289119751</v>
      </c>
      <c r="D43" s="91" t="s">
        <v>875</v>
      </c>
      <c r="E43" s="91" t="b">
        <v>0</v>
      </c>
      <c r="F43" s="91" t="b">
        <v>0</v>
      </c>
      <c r="G43" s="91" t="b">
        <v>0</v>
      </c>
    </row>
    <row r="44" spans="1:7" ht="15">
      <c r="A44" s="91" t="s">
        <v>866</v>
      </c>
      <c r="B44" s="91">
        <v>2</v>
      </c>
      <c r="C44" s="134">
        <v>0.006401973289119751</v>
      </c>
      <c r="D44" s="91" t="s">
        <v>875</v>
      </c>
      <c r="E44" s="91" t="b">
        <v>0</v>
      </c>
      <c r="F44" s="91" t="b">
        <v>0</v>
      </c>
      <c r="G44" s="91" t="b">
        <v>0</v>
      </c>
    </row>
    <row r="45" spans="1:7" ht="15">
      <c r="A45" s="91" t="s">
        <v>719</v>
      </c>
      <c r="B45" s="91">
        <v>2</v>
      </c>
      <c r="C45" s="134">
        <v>0.006401973289119751</v>
      </c>
      <c r="D45" s="91" t="s">
        <v>875</v>
      </c>
      <c r="E45" s="91" t="b">
        <v>0</v>
      </c>
      <c r="F45" s="91" t="b">
        <v>0</v>
      </c>
      <c r="G45" s="91" t="b">
        <v>0</v>
      </c>
    </row>
    <row r="46" spans="1:7" ht="15">
      <c r="A46" s="91" t="s">
        <v>720</v>
      </c>
      <c r="B46" s="91">
        <v>2</v>
      </c>
      <c r="C46" s="134">
        <v>0.006401973289119751</v>
      </c>
      <c r="D46" s="91" t="s">
        <v>875</v>
      </c>
      <c r="E46" s="91" t="b">
        <v>0</v>
      </c>
      <c r="F46" s="91" t="b">
        <v>0</v>
      </c>
      <c r="G46" s="91" t="b">
        <v>0</v>
      </c>
    </row>
    <row r="47" spans="1:7" ht="15">
      <c r="A47" s="91" t="s">
        <v>867</v>
      </c>
      <c r="B47" s="91">
        <v>2</v>
      </c>
      <c r="C47" s="134">
        <v>0.006401973289119751</v>
      </c>
      <c r="D47" s="91" t="s">
        <v>875</v>
      </c>
      <c r="E47" s="91" t="b">
        <v>0</v>
      </c>
      <c r="F47" s="91" t="b">
        <v>0</v>
      </c>
      <c r="G47" s="91" t="b">
        <v>0</v>
      </c>
    </row>
    <row r="48" spans="1:7" ht="15">
      <c r="A48" s="91" t="s">
        <v>868</v>
      </c>
      <c r="B48" s="91">
        <v>2</v>
      </c>
      <c r="C48" s="134">
        <v>0.006401973289119751</v>
      </c>
      <c r="D48" s="91" t="s">
        <v>875</v>
      </c>
      <c r="E48" s="91" t="b">
        <v>0</v>
      </c>
      <c r="F48" s="91" t="b">
        <v>0</v>
      </c>
      <c r="G48" s="91" t="b">
        <v>0</v>
      </c>
    </row>
    <row r="49" spans="1:7" ht="15">
      <c r="A49" s="91" t="s">
        <v>869</v>
      </c>
      <c r="B49" s="91">
        <v>2</v>
      </c>
      <c r="C49" s="134">
        <v>0.006401973289119751</v>
      </c>
      <c r="D49" s="91" t="s">
        <v>875</v>
      </c>
      <c r="E49" s="91" t="b">
        <v>0</v>
      </c>
      <c r="F49" s="91" t="b">
        <v>0</v>
      </c>
      <c r="G49" s="91" t="b">
        <v>0</v>
      </c>
    </row>
    <row r="50" spans="1:7" ht="15">
      <c r="A50" s="91" t="s">
        <v>225</v>
      </c>
      <c r="B50" s="91">
        <v>2</v>
      </c>
      <c r="C50" s="134">
        <v>0.006401973289119751</v>
      </c>
      <c r="D50" s="91" t="s">
        <v>875</v>
      </c>
      <c r="E50" s="91" t="b">
        <v>0</v>
      </c>
      <c r="F50" s="91" t="b">
        <v>0</v>
      </c>
      <c r="G50" s="91" t="b">
        <v>0</v>
      </c>
    </row>
    <row r="51" spans="1:7" ht="15">
      <c r="A51" s="91" t="s">
        <v>235</v>
      </c>
      <c r="B51" s="91">
        <v>2</v>
      </c>
      <c r="C51" s="134">
        <v>0.006401973289119751</v>
      </c>
      <c r="D51" s="91" t="s">
        <v>875</v>
      </c>
      <c r="E51" s="91" t="b">
        <v>0</v>
      </c>
      <c r="F51" s="91" t="b">
        <v>0</v>
      </c>
      <c r="G51" s="91" t="b">
        <v>0</v>
      </c>
    </row>
    <row r="52" spans="1:7" ht="15">
      <c r="A52" s="91" t="s">
        <v>870</v>
      </c>
      <c r="B52" s="91">
        <v>2</v>
      </c>
      <c r="C52" s="134">
        <v>0.00813203073546447</v>
      </c>
      <c r="D52" s="91" t="s">
        <v>875</v>
      </c>
      <c r="E52" s="91" t="b">
        <v>0</v>
      </c>
      <c r="F52" s="91" t="b">
        <v>0</v>
      </c>
      <c r="G52" s="91" t="b">
        <v>0</v>
      </c>
    </row>
    <row r="53" spans="1:7" ht="15">
      <c r="A53" s="91" t="s">
        <v>697</v>
      </c>
      <c r="B53" s="91">
        <v>2</v>
      </c>
      <c r="C53" s="134">
        <v>0.006401973289119751</v>
      </c>
      <c r="D53" s="91" t="s">
        <v>875</v>
      </c>
      <c r="E53" s="91" t="b">
        <v>0</v>
      </c>
      <c r="F53" s="91" t="b">
        <v>0</v>
      </c>
      <c r="G53" s="91" t="b">
        <v>0</v>
      </c>
    </row>
    <row r="54" spans="1:7" ht="15">
      <c r="A54" s="91" t="s">
        <v>698</v>
      </c>
      <c r="B54" s="91">
        <v>2</v>
      </c>
      <c r="C54" s="134">
        <v>0.006401973289119751</v>
      </c>
      <c r="D54" s="91" t="s">
        <v>875</v>
      </c>
      <c r="E54" s="91" t="b">
        <v>0</v>
      </c>
      <c r="F54" s="91" t="b">
        <v>0</v>
      </c>
      <c r="G54" s="91" t="b">
        <v>0</v>
      </c>
    </row>
    <row r="55" spans="1:7" ht="15">
      <c r="A55" s="91" t="s">
        <v>699</v>
      </c>
      <c r="B55" s="91">
        <v>2</v>
      </c>
      <c r="C55" s="134">
        <v>0.006401973289119751</v>
      </c>
      <c r="D55" s="91" t="s">
        <v>875</v>
      </c>
      <c r="E55" s="91" t="b">
        <v>0</v>
      </c>
      <c r="F55" s="91" t="b">
        <v>0</v>
      </c>
      <c r="G55" s="91" t="b">
        <v>0</v>
      </c>
    </row>
    <row r="56" spans="1:7" ht="15">
      <c r="A56" s="91" t="s">
        <v>700</v>
      </c>
      <c r="B56" s="91">
        <v>2</v>
      </c>
      <c r="C56" s="134">
        <v>0.006401973289119751</v>
      </c>
      <c r="D56" s="91" t="s">
        <v>875</v>
      </c>
      <c r="E56" s="91" t="b">
        <v>0</v>
      </c>
      <c r="F56" s="91" t="b">
        <v>0</v>
      </c>
      <c r="G56" s="91" t="b">
        <v>0</v>
      </c>
    </row>
    <row r="57" spans="1:7" ht="15">
      <c r="A57" s="91" t="s">
        <v>701</v>
      </c>
      <c r="B57" s="91">
        <v>2</v>
      </c>
      <c r="C57" s="134">
        <v>0.006401973289119751</v>
      </c>
      <c r="D57" s="91" t="s">
        <v>875</v>
      </c>
      <c r="E57" s="91" t="b">
        <v>0</v>
      </c>
      <c r="F57" s="91" t="b">
        <v>0</v>
      </c>
      <c r="G57" s="91" t="b">
        <v>0</v>
      </c>
    </row>
    <row r="58" spans="1:7" ht="15">
      <c r="A58" s="91" t="s">
        <v>232</v>
      </c>
      <c r="B58" s="91">
        <v>2</v>
      </c>
      <c r="C58" s="134">
        <v>0.006401973289119751</v>
      </c>
      <c r="D58" s="91" t="s">
        <v>875</v>
      </c>
      <c r="E58" s="91" t="b">
        <v>0</v>
      </c>
      <c r="F58" s="91" t="b">
        <v>0</v>
      </c>
      <c r="G58" s="91" t="b">
        <v>0</v>
      </c>
    </row>
    <row r="59" spans="1:7" ht="15">
      <c r="A59" s="91" t="s">
        <v>871</v>
      </c>
      <c r="B59" s="91">
        <v>2</v>
      </c>
      <c r="C59" s="134">
        <v>0.006401973289119751</v>
      </c>
      <c r="D59" s="91" t="s">
        <v>875</v>
      </c>
      <c r="E59" s="91" t="b">
        <v>0</v>
      </c>
      <c r="F59" s="91" t="b">
        <v>0</v>
      </c>
      <c r="G59" s="91" t="b">
        <v>0</v>
      </c>
    </row>
    <row r="60" spans="1:7" ht="15">
      <c r="A60" s="91" t="s">
        <v>872</v>
      </c>
      <c r="B60" s="91">
        <v>2</v>
      </c>
      <c r="C60" s="134">
        <v>0.006401973289119751</v>
      </c>
      <c r="D60" s="91" t="s">
        <v>875</v>
      </c>
      <c r="E60" s="91" t="b">
        <v>0</v>
      </c>
      <c r="F60" s="91" t="b">
        <v>0</v>
      </c>
      <c r="G60" s="91" t="b">
        <v>0</v>
      </c>
    </row>
    <row r="61" spans="1:7" ht="15">
      <c r="A61" s="91" t="s">
        <v>690</v>
      </c>
      <c r="B61" s="91">
        <v>8</v>
      </c>
      <c r="C61" s="134">
        <v>0</v>
      </c>
      <c r="D61" s="91" t="s">
        <v>615</v>
      </c>
      <c r="E61" s="91" t="b">
        <v>0</v>
      </c>
      <c r="F61" s="91" t="b">
        <v>0</v>
      </c>
      <c r="G61" s="91" t="b">
        <v>0</v>
      </c>
    </row>
    <row r="62" spans="1:7" ht="15">
      <c r="A62" s="91" t="s">
        <v>691</v>
      </c>
      <c r="B62" s="91">
        <v>8</v>
      </c>
      <c r="C62" s="134">
        <v>0</v>
      </c>
      <c r="D62" s="91" t="s">
        <v>615</v>
      </c>
      <c r="E62" s="91" t="b">
        <v>0</v>
      </c>
      <c r="F62" s="91" t="b">
        <v>0</v>
      </c>
      <c r="G62" s="91" t="b">
        <v>0</v>
      </c>
    </row>
    <row r="63" spans="1:7" ht="15">
      <c r="A63" s="91" t="s">
        <v>687</v>
      </c>
      <c r="B63" s="91">
        <v>8</v>
      </c>
      <c r="C63" s="134">
        <v>0</v>
      </c>
      <c r="D63" s="91" t="s">
        <v>615</v>
      </c>
      <c r="E63" s="91" t="b">
        <v>0</v>
      </c>
      <c r="F63" s="91" t="b">
        <v>0</v>
      </c>
      <c r="G63" s="91" t="b">
        <v>0</v>
      </c>
    </row>
    <row r="64" spans="1:7" ht="15">
      <c r="A64" s="91" t="s">
        <v>686</v>
      </c>
      <c r="B64" s="91">
        <v>8</v>
      </c>
      <c r="C64" s="134">
        <v>0</v>
      </c>
      <c r="D64" s="91" t="s">
        <v>615</v>
      </c>
      <c r="E64" s="91" t="b">
        <v>0</v>
      </c>
      <c r="F64" s="91" t="b">
        <v>0</v>
      </c>
      <c r="G64" s="91" t="b">
        <v>0</v>
      </c>
    </row>
    <row r="65" spans="1:7" ht="15">
      <c r="A65" s="91" t="s">
        <v>685</v>
      </c>
      <c r="B65" s="91">
        <v>8</v>
      </c>
      <c r="C65" s="134">
        <v>0</v>
      </c>
      <c r="D65" s="91" t="s">
        <v>615</v>
      </c>
      <c r="E65" s="91" t="b">
        <v>0</v>
      </c>
      <c r="F65" s="91" t="b">
        <v>0</v>
      </c>
      <c r="G65" s="91" t="b">
        <v>0</v>
      </c>
    </row>
    <row r="66" spans="1:7" ht="15">
      <c r="A66" s="91" t="s">
        <v>692</v>
      </c>
      <c r="B66" s="91">
        <v>8</v>
      </c>
      <c r="C66" s="134">
        <v>0</v>
      </c>
      <c r="D66" s="91" t="s">
        <v>615</v>
      </c>
      <c r="E66" s="91" t="b">
        <v>0</v>
      </c>
      <c r="F66" s="91" t="b">
        <v>0</v>
      </c>
      <c r="G66" s="91" t="b">
        <v>0</v>
      </c>
    </row>
    <row r="67" spans="1:7" ht="15">
      <c r="A67" s="91" t="s">
        <v>234</v>
      </c>
      <c r="B67" s="91">
        <v>8</v>
      </c>
      <c r="C67" s="134">
        <v>0</v>
      </c>
      <c r="D67" s="91" t="s">
        <v>615</v>
      </c>
      <c r="E67" s="91" t="b">
        <v>0</v>
      </c>
      <c r="F67" s="91" t="b">
        <v>0</v>
      </c>
      <c r="G67" s="91" t="b">
        <v>0</v>
      </c>
    </row>
    <row r="68" spans="1:7" ht="15">
      <c r="A68" s="91" t="s">
        <v>693</v>
      </c>
      <c r="B68" s="91">
        <v>8</v>
      </c>
      <c r="C68" s="134">
        <v>0</v>
      </c>
      <c r="D68" s="91" t="s">
        <v>615</v>
      </c>
      <c r="E68" s="91" t="b">
        <v>0</v>
      </c>
      <c r="F68" s="91" t="b">
        <v>0</v>
      </c>
      <c r="G68" s="91" t="b">
        <v>0</v>
      </c>
    </row>
    <row r="69" spans="1:7" ht="15">
      <c r="A69" s="91" t="s">
        <v>694</v>
      </c>
      <c r="B69" s="91">
        <v>8</v>
      </c>
      <c r="C69" s="134">
        <v>0</v>
      </c>
      <c r="D69" s="91" t="s">
        <v>615</v>
      </c>
      <c r="E69" s="91" t="b">
        <v>0</v>
      </c>
      <c r="F69" s="91" t="b">
        <v>0</v>
      </c>
      <c r="G69" s="91" t="b">
        <v>0</v>
      </c>
    </row>
    <row r="70" spans="1:7" ht="15">
      <c r="A70" s="91" t="s">
        <v>695</v>
      </c>
      <c r="B70" s="91">
        <v>8</v>
      </c>
      <c r="C70" s="134">
        <v>0</v>
      </c>
      <c r="D70" s="91" t="s">
        <v>615</v>
      </c>
      <c r="E70" s="91" t="b">
        <v>0</v>
      </c>
      <c r="F70" s="91" t="b">
        <v>0</v>
      </c>
      <c r="G70" s="91" t="b">
        <v>0</v>
      </c>
    </row>
    <row r="71" spans="1:7" ht="15">
      <c r="A71" s="91" t="s">
        <v>861</v>
      </c>
      <c r="B71" s="91">
        <v>8</v>
      </c>
      <c r="C71" s="134">
        <v>0</v>
      </c>
      <c r="D71" s="91" t="s">
        <v>615</v>
      </c>
      <c r="E71" s="91" t="b">
        <v>0</v>
      </c>
      <c r="F71" s="91" t="b">
        <v>0</v>
      </c>
      <c r="G71" s="91" t="b">
        <v>0</v>
      </c>
    </row>
    <row r="72" spans="1:7" ht="15">
      <c r="A72" s="91" t="s">
        <v>862</v>
      </c>
      <c r="B72" s="91">
        <v>8</v>
      </c>
      <c r="C72" s="134">
        <v>0</v>
      </c>
      <c r="D72" s="91" t="s">
        <v>615</v>
      </c>
      <c r="E72" s="91" t="b">
        <v>0</v>
      </c>
      <c r="F72" s="91" t="b">
        <v>0</v>
      </c>
      <c r="G72" s="91" t="b">
        <v>0</v>
      </c>
    </row>
    <row r="73" spans="1:7" ht="15">
      <c r="A73" s="91" t="s">
        <v>863</v>
      </c>
      <c r="B73" s="91">
        <v>8</v>
      </c>
      <c r="C73" s="134">
        <v>0</v>
      </c>
      <c r="D73" s="91" t="s">
        <v>615</v>
      </c>
      <c r="E73" s="91" t="b">
        <v>0</v>
      </c>
      <c r="F73" s="91" t="b">
        <v>0</v>
      </c>
      <c r="G73" s="91" t="b">
        <v>0</v>
      </c>
    </row>
    <row r="74" spans="1:7" ht="15">
      <c r="A74" s="91" t="s">
        <v>223</v>
      </c>
      <c r="B74" s="91">
        <v>7</v>
      </c>
      <c r="C74" s="134">
        <v>0.003273738942288767</v>
      </c>
      <c r="D74" s="91" t="s">
        <v>615</v>
      </c>
      <c r="E74" s="91" t="b">
        <v>0</v>
      </c>
      <c r="F74" s="91" t="b">
        <v>0</v>
      </c>
      <c r="G74" s="91" t="b">
        <v>0</v>
      </c>
    </row>
    <row r="75" spans="1:7" ht="15">
      <c r="A75" s="91" t="s">
        <v>864</v>
      </c>
      <c r="B75" s="91">
        <v>7</v>
      </c>
      <c r="C75" s="134">
        <v>0.003273738942288767</v>
      </c>
      <c r="D75" s="91" t="s">
        <v>615</v>
      </c>
      <c r="E75" s="91" t="b">
        <v>0</v>
      </c>
      <c r="F75" s="91" t="b">
        <v>0</v>
      </c>
      <c r="G75" s="91" t="b">
        <v>0</v>
      </c>
    </row>
    <row r="76" spans="1:7" ht="15">
      <c r="A76" s="91" t="s">
        <v>669</v>
      </c>
      <c r="B76" s="91">
        <v>3</v>
      </c>
      <c r="C76" s="134">
        <v>0.007349337447547055</v>
      </c>
      <c r="D76" s="91" t="s">
        <v>616</v>
      </c>
      <c r="E76" s="91" t="b">
        <v>0</v>
      </c>
      <c r="F76" s="91" t="b">
        <v>0</v>
      </c>
      <c r="G76" s="91" t="b">
        <v>0</v>
      </c>
    </row>
    <row r="77" spans="1:7" ht="15">
      <c r="A77" s="91" t="s">
        <v>225</v>
      </c>
      <c r="B77" s="91">
        <v>2</v>
      </c>
      <c r="C77" s="134">
        <v>0.011805097869175734</v>
      </c>
      <c r="D77" s="91" t="s">
        <v>616</v>
      </c>
      <c r="E77" s="91" t="b">
        <v>0</v>
      </c>
      <c r="F77" s="91" t="b">
        <v>0</v>
      </c>
      <c r="G77" s="91" t="b">
        <v>0</v>
      </c>
    </row>
    <row r="78" spans="1:7" ht="15">
      <c r="A78" s="91" t="s">
        <v>235</v>
      </c>
      <c r="B78" s="91">
        <v>2</v>
      </c>
      <c r="C78" s="134">
        <v>0.011805097869175734</v>
      </c>
      <c r="D78" s="91" t="s">
        <v>616</v>
      </c>
      <c r="E78" s="91" t="b">
        <v>0</v>
      </c>
      <c r="F78" s="91" t="b">
        <v>0</v>
      </c>
      <c r="G78" s="91" t="b">
        <v>0</v>
      </c>
    </row>
    <row r="79" spans="1:7" ht="15">
      <c r="A79" s="91" t="s">
        <v>668</v>
      </c>
      <c r="B79" s="91">
        <v>2</v>
      </c>
      <c r="C79" s="134">
        <v>0.011805097869175734</v>
      </c>
      <c r="D79" s="91" t="s">
        <v>616</v>
      </c>
      <c r="E79" s="91" t="b">
        <v>0</v>
      </c>
      <c r="F79" s="91" t="b">
        <v>0</v>
      </c>
      <c r="G79" s="91" t="b">
        <v>0</v>
      </c>
    </row>
    <row r="80" spans="1:7" ht="15">
      <c r="A80" s="91" t="s">
        <v>688</v>
      </c>
      <c r="B80" s="91">
        <v>2</v>
      </c>
      <c r="C80" s="134">
        <v>0.011805097869175734</v>
      </c>
      <c r="D80" s="91" t="s">
        <v>616</v>
      </c>
      <c r="E80" s="91" t="b">
        <v>0</v>
      </c>
      <c r="F80" s="91" t="b">
        <v>0</v>
      </c>
      <c r="G80" s="91" t="b">
        <v>0</v>
      </c>
    </row>
    <row r="81" spans="1:7" ht="15">
      <c r="A81" s="91" t="s">
        <v>697</v>
      </c>
      <c r="B81" s="91">
        <v>2</v>
      </c>
      <c r="C81" s="134">
        <v>0.011805097869175734</v>
      </c>
      <c r="D81" s="91" t="s">
        <v>616</v>
      </c>
      <c r="E81" s="91" t="b">
        <v>0</v>
      </c>
      <c r="F81" s="91" t="b">
        <v>0</v>
      </c>
      <c r="G81" s="91" t="b">
        <v>0</v>
      </c>
    </row>
    <row r="82" spans="1:7" ht="15">
      <c r="A82" s="91" t="s">
        <v>698</v>
      </c>
      <c r="B82" s="91">
        <v>2</v>
      </c>
      <c r="C82" s="134">
        <v>0.011805097869175734</v>
      </c>
      <c r="D82" s="91" t="s">
        <v>616</v>
      </c>
      <c r="E82" s="91" t="b">
        <v>0</v>
      </c>
      <c r="F82" s="91" t="b">
        <v>0</v>
      </c>
      <c r="G82" s="91" t="b">
        <v>0</v>
      </c>
    </row>
    <row r="83" spans="1:7" ht="15">
      <c r="A83" s="91" t="s">
        <v>699</v>
      </c>
      <c r="B83" s="91">
        <v>2</v>
      </c>
      <c r="C83" s="134">
        <v>0.011805097869175734</v>
      </c>
      <c r="D83" s="91" t="s">
        <v>616</v>
      </c>
      <c r="E83" s="91" t="b">
        <v>0</v>
      </c>
      <c r="F83" s="91" t="b">
        <v>0</v>
      </c>
      <c r="G83" s="91" t="b">
        <v>0</v>
      </c>
    </row>
    <row r="84" spans="1:7" ht="15">
      <c r="A84" s="91" t="s">
        <v>700</v>
      </c>
      <c r="B84" s="91">
        <v>2</v>
      </c>
      <c r="C84" s="134">
        <v>0.011805097869175734</v>
      </c>
      <c r="D84" s="91" t="s">
        <v>616</v>
      </c>
      <c r="E84" s="91" t="b">
        <v>0</v>
      </c>
      <c r="F84" s="91" t="b">
        <v>0</v>
      </c>
      <c r="G84" s="91" t="b">
        <v>0</v>
      </c>
    </row>
    <row r="85" spans="1:7" ht="15">
      <c r="A85" s="91" t="s">
        <v>701</v>
      </c>
      <c r="B85" s="91">
        <v>2</v>
      </c>
      <c r="C85" s="134">
        <v>0.011805097869175734</v>
      </c>
      <c r="D85" s="91" t="s">
        <v>616</v>
      </c>
      <c r="E85" s="91" t="b">
        <v>0</v>
      </c>
      <c r="F85" s="91" t="b">
        <v>0</v>
      </c>
      <c r="G85" s="91" t="b">
        <v>0</v>
      </c>
    </row>
    <row r="86" spans="1:7" ht="15">
      <c r="A86" s="91" t="s">
        <v>232</v>
      </c>
      <c r="B86" s="91">
        <v>2</v>
      </c>
      <c r="C86" s="134">
        <v>0.011805097869175734</v>
      </c>
      <c r="D86" s="91" t="s">
        <v>616</v>
      </c>
      <c r="E86" s="91" t="b">
        <v>0</v>
      </c>
      <c r="F86" s="91" t="b">
        <v>0</v>
      </c>
      <c r="G86" s="91" t="b">
        <v>0</v>
      </c>
    </row>
    <row r="87" spans="1:7" ht="15">
      <c r="A87" s="91" t="s">
        <v>871</v>
      </c>
      <c r="B87" s="91">
        <v>2</v>
      </c>
      <c r="C87" s="134">
        <v>0.011805097869175734</v>
      </c>
      <c r="D87" s="91" t="s">
        <v>616</v>
      </c>
      <c r="E87" s="91" t="b">
        <v>0</v>
      </c>
      <c r="F87" s="91" t="b">
        <v>0</v>
      </c>
      <c r="G87" s="91" t="b">
        <v>0</v>
      </c>
    </row>
    <row r="88" spans="1:7" ht="15">
      <c r="A88" s="91" t="s">
        <v>721</v>
      </c>
      <c r="B88" s="91">
        <v>2</v>
      </c>
      <c r="C88" s="134">
        <v>0.011805097869175734</v>
      </c>
      <c r="D88" s="91" t="s">
        <v>616</v>
      </c>
      <c r="E88" s="91" t="b">
        <v>0</v>
      </c>
      <c r="F88" s="91" t="b">
        <v>0</v>
      </c>
      <c r="G88" s="91" t="b">
        <v>0</v>
      </c>
    </row>
    <row r="89" spans="1:7" ht="15">
      <c r="A89" s="91" t="s">
        <v>872</v>
      </c>
      <c r="B89" s="91">
        <v>2</v>
      </c>
      <c r="C89" s="134">
        <v>0.011805097869175734</v>
      </c>
      <c r="D89" s="91" t="s">
        <v>616</v>
      </c>
      <c r="E89" s="91" t="b">
        <v>0</v>
      </c>
      <c r="F89" s="91" t="b">
        <v>0</v>
      </c>
      <c r="G89" s="91" t="b">
        <v>0</v>
      </c>
    </row>
    <row r="90" spans="1:7" ht="15">
      <c r="A90" s="91" t="s">
        <v>703</v>
      </c>
      <c r="B90" s="91">
        <v>4</v>
      </c>
      <c r="C90" s="134">
        <v>0</v>
      </c>
      <c r="D90" s="91" t="s">
        <v>617</v>
      </c>
      <c r="E90" s="91" t="b">
        <v>0</v>
      </c>
      <c r="F90" s="91" t="b">
        <v>0</v>
      </c>
      <c r="G90" s="91" t="b">
        <v>0</v>
      </c>
    </row>
    <row r="91" spans="1:7" ht="15">
      <c r="A91" s="91" t="s">
        <v>233</v>
      </c>
      <c r="B91" s="91">
        <v>4</v>
      </c>
      <c r="C91" s="134">
        <v>0</v>
      </c>
      <c r="D91" s="91" t="s">
        <v>617</v>
      </c>
      <c r="E91" s="91" t="b">
        <v>0</v>
      </c>
      <c r="F91" s="91" t="b">
        <v>0</v>
      </c>
      <c r="G91" s="91" t="b">
        <v>0</v>
      </c>
    </row>
    <row r="92" spans="1:7" ht="15">
      <c r="A92" s="91" t="s">
        <v>704</v>
      </c>
      <c r="B92" s="91">
        <v>4</v>
      </c>
      <c r="C92" s="134">
        <v>0</v>
      </c>
      <c r="D92" s="91" t="s">
        <v>617</v>
      </c>
      <c r="E92" s="91" t="b">
        <v>0</v>
      </c>
      <c r="F92" s="91" t="b">
        <v>0</v>
      </c>
      <c r="G92" s="91" t="b">
        <v>0</v>
      </c>
    </row>
    <row r="93" spans="1:7" ht="15">
      <c r="A93" s="91" t="s">
        <v>705</v>
      </c>
      <c r="B93" s="91">
        <v>4</v>
      </c>
      <c r="C93" s="134">
        <v>0</v>
      </c>
      <c r="D93" s="91" t="s">
        <v>617</v>
      </c>
      <c r="E93" s="91" t="b">
        <v>0</v>
      </c>
      <c r="F93" s="91" t="b">
        <v>0</v>
      </c>
      <c r="G93" s="91" t="b">
        <v>0</v>
      </c>
    </row>
    <row r="94" spans="1:7" ht="15">
      <c r="A94" s="91" t="s">
        <v>706</v>
      </c>
      <c r="B94" s="91">
        <v>4</v>
      </c>
      <c r="C94" s="134">
        <v>0</v>
      </c>
      <c r="D94" s="91" t="s">
        <v>617</v>
      </c>
      <c r="E94" s="91" t="b">
        <v>0</v>
      </c>
      <c r="F94" s="91" t="b">
        <v>0</v>
      </c>
      <c r="G94" s="91" t="b">
        <v>0</v>
      </c>
    </row>
    <row r="95" spans="1:7" ht="15">
      <c r="A95" s="91" t="s">
        <v>707</v>
      </c>
      <c r="B95" s="91">
        <v>4</v>
      </c>
      <c r="C95" s="134">
        <v>0</v>
      </c>
      <c r="D95" s="91" t="s">
        <v>617</v>
      </c>
      <c r="E95" s="91" t="b">
        <v>0</v>
      </c>
      <c r="F95" s="91" t="b">
        <v>0</v>
      </c>
      <c r="G95" s="91" t="b">
        <v>0</v>
      </c>
    </row>
    <row r="96" spans="1:7" ht="15">
      <c r="A96" s="91" t="s">
        <v>708</v>
      </c>
      <c r="B96" s="91">
        <v>4</v>
      </c>
      <c r="C96" s="134">
        <v>0</v>
      </c>
      <c r="D96" s="91" t="s">
        <v>617</v>
      </c>
      <c r="E96" s="91" t="b">
        <v>0</v>
      </c>
      <c r="F96" s="91" t="b">
        <v>0</v>
      </c>
      <c r="G96" s="91" t="b">
        <v>0</v>
      </c>
    </row>
    <row r="97" spans="1:7" ht="15">
      <c r="A97" s="91" t="s">
        <v>709</v>
      </c>
      <c r="B97" s="91">
        <v>4</v>
      </c>
      <c r="C97" s="134">
        <v>0</v>
      </c>
      <c r="D97" s="91" t="s">
        <v>617</v>
      </c>
      <c r="E97" s="91" t="b">
        <v>0</v>
      </c>
      <c r="F97" s="91" t="b">
        <v>0</v>
      </c>
      <c r="G97" s="91" t="b">
        <v>0</v>
      </c>
    </row>
    <row r="98" spans="1:7" ht="15">
      <c r="A98" s="91" t="s">
        <v>710</v>
      </c>
      <c r="B98" s="91">
        <v>4</v>
      </c>
      <c r="C98" s="134">
        <v>0</v>
      </c>
      <c r="D98" s="91" t="s">
        <v>617</v>
      </c>
      <c r="E98" s="91" t="b">
        <v>0</v>
      </c>
      <c r="F98" s="91" t="b">
        <v>0</v>
      </c>
      <c r="G98" s="91" t="b">
        <v>0</v>
      </c>
    </row>
    <row r="99" spans="1:7" ht="15">
      <c r="A99" s="91" t="s">
        <v>215</v>
      </c>
      <c r="B99" s="91">
        <v>3</v>
      </c>
      <c r="C99" s="134">
        <v>0.006352817115676268</v>
      </c>
      <c r="D99" s="91" t="s">
        <v>617</v>
      </c>
      <c r="E99" s="91" t="b">
        <v>0</v>
      </c>
      <c r="F99" s="91" t="b">
        <v>0</v>
      </c>
      <c r="G99" s="91" t="b">
        <v>0</v>
      </c>
    </row>
    <row r="100" spans="1:7" ht="15">
      <c r="A100" s="91" t="s">
        <v>865</v>
      </c>
      <c r="B100" s="91">
        <v>3</v>
      </c>
      <c r="C100" s="134">
        <v>0.006352817115676268</v>
      </c>
      <c r="D100" s="91" t="s">
        <v>617</v>
      </c>
      <c r="E100" s="91" t="b">
        <v>0</v>
      </c>
      <c r="F100" s="91" t="b">
        <v>0</v>
      </c>
      <c r="G100" s="91" t="b">
        <v>0</v>
      </c>
    </row>
    <row r="101" spans="1:7" ht="15">
      <c r="A101" s="91" t="s">
        <v>870</v>
      </c>
      <c r="B101" s="91">
        <v>2</v>
      </c>
      <c r="C101" s="134">
        <v>0.020408813265354656</v>
      </c>
      <c r="D101" s="91" t="s">
        <v>617</v>
      </c>
      <c r="E101" s="91" t="b">
        <v>0</v>
      </c>
      <c r="F101" s="91" t="b">
        <v>0</v>
      </c>
      <c r="G101" s="91" t="b">
        <v>0</v>
      </c>
    </row>
    <row r="102" spans="1:7" ht="15">
      <c r="A102" s="91" t="s">
        <v>668</v>
      </c>
      <c r="B102" s="91">
        <v>4</v>
      </c>
      <c r="C102" s="134">
        <v>0</v>
      </c>
      <c r="D102" s="91" t="s">
        <v>618</v>
      </c>
      <c r="E102" s="91" t="b">
        <v>0</v>
      </c>
      <c r="F102" s="91" t="b">
        <v>0</v>
      </c>
      <c r="G102" s="91" t="b">
        <v>0</v>
      </c>
    </row>
    <row r="103" spans="1:7" ht="15">
      <c r="A103" s="91" t="s">
        <v>685</v>
      </c>
      <c r="B103" s="91">
        <v>4</v>
      </c>
      <c r="C103" s="134">
        <v>0</v>
      </c>
      <c r="D103" s="91" t="s">
        <v>618</v>
      </c>
      <c r="E103" s="91" t="b">
        <v>0</v>
      </c>
      <c r="F103" s="91" t="b">
        <v>0</v>
      </c>
      <c r="G103" s="91" t="b">
        <v>0</v>
      </c>
    </row>
    <row r="104" spans="1:7" ht="15">
      <c r="A104" s="91" t="s">
        <v>688</v>
      </c>
      <c r="B104" s="91">
        <v>4</v>
      </c>
      <c r="C104" s="134">
        <v>0</v>
      </c>
      <c r="D104" s="91" t="s">
        <v>618</v>
      </c>
      <c r="E104" s="91" t="b">
        <v>0</v>
      </c>
      <c r="F104" s="91" t="b">
        <v>0</v>
      </c>
      <c r="G104" s="91" t="b">
        <v>0</v>
      </c>
    </row>
    <row r="105" spans="1:7" ht="15">
      <c r="A105" s="91" t="s">
        <v>712</v>
      </c>
      <c r="B105" s="91">
        <v>3</v>
      </c>
      <c r="C105" s="134">
        <v>0.011358066964390904</v>
      </c>
      <c r="D105" s="91" t="s">
        <v>618</v>
      </c>
      <c r="E105" s="91" t="b">
        <v>0</v>
      </c>
      <c r="F105" s="91" t="b">
        <v>0</v>
      </c>
      <c r="G105" s="91" t="b">
        <v>0</v>
      </c>
    </row>
    <row r="106" spans="1:7" ht="15">
      <c r="A106" s="91" t="s">
        <v>230</v>
      </c>
      <c r="B106" s="91">
        <v>2</v>
      </c>
      <c r="C106" s="134">
        <v>0.018244242161453407</v>
      </c>
      <c r="D106" s="91" t="s">
        <v>618</v>
      </c>
      <c r="E106" s="91" t="b">
        <v>0</v>
      </c>
      <c r="F106" s="91" t="b">
        <v>0</v>
      </c>
      <c r="G106" s="91" t="b">
        <v>0</v>
      </c>
    </row>
    <row r="107" spans="1:7" ht="15">
      <c r="A107" s="91" t="s">
        <v>713</v>
      </c>
      <c r="B107" s="91">
        <v>2</v>
      </c>
      <c r="C107" s="134">
        <v>0.018244242161453407</v>
      </c>
      <c r="D107" s="91" t="s">
        <v>618</v>
      </c>
      <c r="E107" s="91" t="b">
        <v>0</v>
      </c>
      <c r="F107" s="91" t="b">
        <v>0</v>
      </c>
      <c r="G107" s="91" t="b">
        <v>0</v>
      </c>
    </row>
    <row r="108" spans="1:7" ht="15">
      <c r="A108" s="91" t="s">
        <v>714</v>
      </c>
      <c r="B108" s="91">
        <v>2</v>
      </c>
      <c r="C108" s="134">
        <v>0.018244242161453407</v>
      </c>
      <c r="D108" s="91" t="s">
        <v>618</v>
      </c>
      <c r="E108" s="91" t="b">
        <v>0</v>
      </c>
      <c r="F108" s="91" t="b">
        <v>0</v>
      </c>
      <c r="G108" s="91" t="b">
        <v>0</v>
      </c>
    </row>
    <row r="109" spans="1:7" ht="15">
      <c r="A109" s="91" t="s">
        <v>715</v>
      </c>
      <c r="B109" s="91">
        <v>2</v>
      </c>
      <c r="C109" s="134">
        <v>0.018244242161453407</v>
      </c>
      <c r="D109" s="91" t="s">
        <v>618</v>
      </c>
      <c r="E109" s="91" t="b">
        <v>0</v>
      </c>
      <c r="F109" s="91" t="b">
        <v>0</v>
      </c>
      <c r="G109" s="91" t="b">
        <v>0</v>
      </c>
    </row>
    <row r="110" spans="1:7" ht="15">
      <c r="A110" s="91" t="s">
        <v>716</v>
      </c>
      <c r="B110" s="91">
        <v>2</v>
      </c>
      <c r="C110" s="134">
        <v>0.018244242161453407</v>
      </c>
      <c r="D110" s="91" t="s">
        <v>618</v>
      </c>
      <c r="E110" s="91" t="b">
        <v>0</v>
      </c>
      <c r="F110" s="91" t="b">
        <v>0</v>
      </c>
      <c r="G110" s="91" t="b">
        <v>0</v>
      </c>
    </row>
    <row r="111" spans="1:7" ht="15">
      <c r="A111" s="91" t="s">
        <v>238</v>
      </c>
      <c r="B111" s="91">
        <v>2</v>
      </c>
      <c r="C111" s="134">
        <v>0.018244242161453407</v>
      </c>
      <c r="D111" s="91" t="s">
        <v>618</v>
      </c>
      <c r="E111" s="91" t="b">
        <v>0</v>
      </c>
      <c r="F111" s="91" t="b">
        <v>0</v>
      </c>
      <c r="G111" s="91" t="b">
        <v>0</v>
      </c>
    </row>
    <row r="112" spans="1:7" ht="15">
      <c r="A112" s="91" t="s">
        <v>866</v>
      </c>
      <c r="B112" s="91">
        <v>2</v>
      </c>
      <c r="C112" s="134">
        <v>0.018244242161453407</v>
      </c>
      <c r="D112" s="91" t="s">
        <v>618</v>
      </c>
      <c r="E112" s="91" t="b">
        <v>0</v>
      </c>
      <c r="F112" s="91" t="b">
        <v>0</v>
      </c>
      <c r="G112" s="91" t="b">
        <v>0</v>
      </c>
    </row>
    <row r="113" spans="1:7" ht="15">
      <c r="A113" s="91" t="s">
        <v>668</v>
      </c>
      <c r="B113" s="91">
        <v>2</v>
      </c>
      <c r="C113" s="134">
        <v>0.013264666955734587</v>
      </c>
      <c r="D113" s="91" t="s">
        <v>620</v>
      </c>
      <c r="E113" s="91" t="b">
        <v>0</v>
      </c>
      <c r="F113" s="91" t="b">
        <v>0</v>
      </c>
      <c r="G113" s="91" t="b">
        <v>0</v>
      </c>
    </row>
    <row r="114" spans="1:7" ht="15">
      <c r="A114" s="91" t="s">
        <v>719</v>
      </c>
      <c r="B114" s="91">
        <v>2</v>
      </c>
      <c r="C114" s="134">
        <v>0.013264666955734587</v>
      </c>
      <c r="D114" s="91" t="s">
        <v>620</v>
      </c>
      <c r="E114" s="91" t="b">
        <v>0</v>
      </c>
      <c r="F114" s="91" t="b">
        <v>0</v>
      </c>
      <c r="G114" s="91" t="b">
        <v>0</v>
      </c>
    </row>
    <row r="115" spans="1:7" ht="15">
      <c r="A115" s="91" t="s">
        <v>720</v>
      </c>
      <c r="B115" s="91">
        <v>2</v>
      </c>
      <c r="C115" s="134">
        <v>0.013264666955734587</v>
      </c>
      <c r="D115" s="91" t="s">
        <v>620</v>
      </c>
      <c r="E115" s="91" t="b">
        <v>0</v>
      </c>
      <c r="F115" s="91" t="b">
        <v>0</v>
      </c>
      <c r="G115" s="91" t="b">
        <v>0</v>
      </c>
    </row>
    <row r="116" spans="1:7" ht="15">
      <c r="A116" s="91" t="s">
        <v>721</v>
      </c>
      <c r="B116" s="91">
        <v>2</v>
      </c>
      <c r="C116" s="134">
        <v>0.013264666955734587</v>
      </c>
      <c r="D116" s="91" t="s">
        <v>620</v>
      </c>
      <c r="E116" s="91" t="b">
        <v>0</v>
      </c>
      <c r="F116" s="91" t="b">
        <v>0</v>
      </c>
      <c r="G116" s="91" t="b">
        <v>0</v>
      </c>
    </row>
    <row r="117" spans="1:7" ht="15">
      <c r="A117" s="91" t="s">
        <v>712</v>
      </c>
      <c r="B117" s="91">
        <v>2</v>
      </c>
      <c r="C117" s="134">
        <v>0.013264666955734587</v>
      </c>
      <c r="D117" s="91" t="s">
        <v>620</v>
      </c>
      <c r="E117" s="91" t="b">
        <v>0</v>
      </c>
      <c r="F117" s="91" t="b">
        <v>0</v>
      </c>
      <c r="G117" s="91" t="b">
        <v>0</v>
      </c>
    </row>
    <row r="118" spans="1:7" ht="15">
      <c r="A118" s="91" t="s">
        <v>686</v>
      </c>
      <c r="B118" s="91">
        <v>2</v>
      </c>
      <c r="C118" s="134">
        <v>0.013264666955734587</v>
      </c>
      <c r="D118" s="91" t="s">
        <v>620</v>
      </c>
      <c r="E118" s="91" t="b">
        <v>0</v>
      </c>
      <c r="F118" s="91" t="b">
        <v>0</v>
      </c>
      <c r="G118" s="91"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1"/>
  <sheetViews>
    <sheetView workbookViewId="0" topLeftCell="A1"/>
  </sheetViews>
  <sheetFormatPr defaultColWidth="9.140625" defaultRowHeight="15"/>
  <cols>
    <col min="1" max="1" width="9.421875" style="0" customWidth="1"/>
    <col min="2" max="2" width="9.421875" style="0" bestFit="1" customWidth="1"/>
    <col min="3" max="3" width="8.421875" style="0" bestFit="1" customWidth="1"/>
    <col min="4" max="4" width="10.57421875" style="0" bestFit="1" customWidth="1"/>
    <col min="5" max="5" width="20.7109375" style="0" bestFit="1" customWidth="1"/>
    <col min="6" max="6" width="8.57421875" style="0" bestFit="1" customWidth="1"/>
    <col min="7" max="7" width="36.28125" style="0" bestFit="1" customWidth="1"/>
    <col min="8" max="8" width="37.140625" style="0" bestFit="1" customWidth="1"/>
    <col min="9" max="9" width="41.8515625" style="0" bestFit="1" customWidth="1"/>
    <col min="10" max="10" width="36.28125" style="0" bestFit="1" customWidth="1"/>
    <col min="11" max="11" width="37.140625" style="0" bestFit="1" customWidth="1"/>
    <col min="12" max="12" width="41.8515625" style="0" bestFit="1" customWidth="1"/>
  </cols>
  <sheetData>
    <row r="1" spans="1:12" ht="15" customHeight="1">
      <c r="A1" s="13" t="s">
        <v>879</v>
      </c>
      <c r="B1" s="13" t="s">
        <v>880</v>
      </c>
      <c r="C1" s="13" t="s">
        <v>873</v>
      </c>
      <c r="D1" s="13" t="s">
        <v>874</v>
      </c>
      <c r="E1" s="13" t="s">
        <v>881</v>
      </c>
      <c r="F1" s="13" t="s">
        <v>144</v>
      </c>
      <c r="G1" s="13" t="s">
        <v>882</v>
      </c>
      <c r="H1" s="13" t="s">
        <v>883</v>
      </c>
      <c r="I1" s="13" t="s">
        <v>884</v>
      </c>
      <c r="J1" s="13" t="s">
        <v>885</v>
      </c>
      <c r="K1" s="13" t="s">
        <v>886</v>
      </c>
      <c r="L1" s="13" t="s">
        <v>887</v>
      </c>
    </row>
    <row r="2" spans="1:12" ht="15">
      <c r="A2" s="91" t="s">
        <v>686</v>
      </c>
      <c r="B2" s="91" t="s">
        <v>685</v>
      </c>
      <c r="C2" s="91">
        <v>9</v>
      </c>
      <c r="D2" s="134">
        <v>0.011915452720642063</v>
      </c>
      <c r="E2" s="134">
        <v>1.348155028828319</v>
      </c>
      <c r="F2" s="91" t="s">
        <v>875</v>
      </c>
      <c r="G2" s="91" t="b">
        <v>0</v>
      </c>
      <c r="H2" s="91" t="b">
        <v>0</v>
      </c>
      <c r="I2" s="91" t="b">
        <v>0</v>
      </c>
      <c r="J2" s="91" t="b">
        <v>0</v>
      </c>
      <c r="K2" s="91" t="b">
        <v>0</v>
      </c>
      <c r="L2" s="91" t="b">
        <v>0</v>
      </c>
    </row>
    <row r="3" spans="1:12" ht="15">
      <c r="A3" s="91" t="s">
        <v>690</v>
      </c>
      <c r="B3" s="91" t="s">
        <v>691</v>
      </c>
      <c r="C3" s="91">
        <v>8</v>
      </c>
      <c r="D3" s="134">
        <v>0.011767433585721248</v>
      </c>
      <c r="E3" s="134">
        <v>1.6047658847038875</v>
      </c>
      <c r="F3" s="91" t="s">
        <v>875</v>
      </c>
      <c r="G3" s="91" t="b">
        <v>0</v>
      </c>
      <c r="H3" s="91" t="b">
        <v>0</v>
      </c>
      <c r="I3" s="91" t="b">
        <v>0</v>
      </c>
      <c r="J3" s="91" t="b">
        <v>0</v>
      </c>
      <c r="K3" s="91" t="b">
        <v>0</v>
      </c>
      <c r="L3" s="91" t="b">
        <v>0</v>
      </c>
    </row>
    <row r="4" spans="1:12" ht="15">
      <c r="A4" s="91" t="s">
        <v>691</v>
      </c>
      <c r="B4" s="91" t="s">
        <v>687</v>
      </c>
      <c r="C4" s="91">
        <v>8</v>
      </c>
      <c r="D4" s="134">
        <v>0.011767433585721248</v>
      </c>
      <c r="E4" s="134">
        <v>1.553613362256506</v>
      </c>
      <c r="F4" s="91" t="s">
        <v>875</v>
      </c>
      <c r="G4" s="91" t="b">
        <v>0</v>
      </c>
      <c r="H4" s="91" t="b">
        <v>0</v>
      </c>
      <c r="I4" s="91" t="b">
        <v>0</v>
      </c>
      <c r="J4" s="91" t="b">
        <v>0</v>
      </c>
      <c r="K4" s="91" t="b">
        <v>0</v>
      </c>
      <c r="L4" s="91" t="b">
        <v>0</v>
      </c>
    </row>
    <row r="5" spans="1:12" ht="15">
      <c r="A5" s="91" t="s">
        <v>687</v>
      </c>
      <c r="B5" s="91" t="s">
        <v>686</v>
      </c>
      <c r="C5" s="91">
        <v>8</v>
      </c>
      <c r="D5" s="134">
        <v>0.011767433585721248</v>
      </c>
      <c r="E5" s="134">
        <v>1.5024608398091246</v>
      </c>
      <c r="F5" s="91" t="s">
        <v>875</v>
      </c>
      <c r="G5" s="91" t="b">
        <v>0</v>
      </c>
      <c r="H5" s="91" t="b">
        <v>0</v>
      </c>
      <c r="I5" s="91" t="b">
        <v>0</v>
      </c>
      <c r="J5" s="91" t="b">
        <v>0</v>
      </c>
      <c r="K5" s="91" t="b">
        <v>0</v>
      </c>
      <c r="L5" s="91" t="b">
        <v>0</v>
      </c>
    </row>
    <row r="6" spans="1:12" ht="15">
      <c r="A6" s="91" t="s">
        <v>685</v>
      </c>
      <c r="B6" s="91" t="s">
        <v>692</v>
      </c>
      <c r="C6" s="91">
        <v>8</v>
      </c>
      <c r="D6" s="134">
        <v>0.011767433585721248</v>
      </c>
      <c r="E6" s="134">
        <v>1.393912519388994</v>
      </c>
      <c r="F6" s="91" t="s">
        <v>875</v>
      </c>
      <c r="G6" s="91" t="b">
        <v>0</v>
      </c>
      <c r="H6" s="91" t="b">
        <v>0</v>
      </c>
      <c r="I6" s="91" t="b">
        <v>0</v>
      </c>
      <c r="J6" s="91" t="b">
        <v>0</v>
      </c>
      <c r="K6" s="91" t="b">
        <v>0</v>
      </c>
      <c r="L6" s="91" t="b">
        <v>0</v>
      </c>
    </row>
    <row r="7" spans="1:12" ht="15">
      <c r="A7" s="91" t="s">
        <v>692</v>
      </c>
      <c r="B7" s="91" t="s">
        <v>234</v>
      </c>
      <c r="C7" s="91">
        <v>8</v>
      </c>
      <c r="D7" s="134">
        <v>0.011767433585721248</v>
      </c>
      <c r="E7" s="134">
        <v>1.6047658847038875</v>
      </c>
      <c r="F7" s="91" t="s">
        <v>875</v>
      </c>
      <c r="G7" s="91" t="b">
        <v>0</v>
      </c>
      <c r="H7" s="91" t="b">
        <v>0</v>
      </c>
      <c r="I7" s="91" t="b">
        <v>0</v>
      </c>
      <c r="J7" s="91" t="b">
        <v>0</v>
      </c>
      <c r="K7" s="91" t="b">
        <v>0</v>
      </c>
      <c r="L7" s="91" t="b">
        <v>0</v>
      </c>
    </row>
    <row r="8" spans="1:12" ht="15">
      <c r="A8" s="91" t="s">
        <v>234</v>
      </c>
      <c r="B8" s="91" t="s">
        <v>693</v>
      </c>
      <c r="C8" s="91">
        <v>8</v>
      </c>
      <c r="D8" s="134">
        <v>0.011767433585721248</v>
      </c>
      <c r="E8" s="134">
        <v>1.6047658847038875</v>
      </c>
      <c r="F8" s="91" t="s">
        <v>875</v>
      </c>
      <c r="G8" s="91" t="b">
        <v>0</v>
      </c>
      <c r="H8" s="91" t="b">
        <v>0</v>
      </c>
      <c r="I8" s="91" t="b">
        <v>0</v>
      </c>
      <c r="J8" s="91" t="b">
        <v>0</v>
      </c>
      <c r="K8" s="91" t="b">
        <v>0</v>
      </c>
      <c r="L8" s="91" t="b">
        <v>0</v>
      </c>
    </row>
    <row r="9" spans="1:12" ht="15">
      <c r="A9" s="91" t="s">
        <v>693</v>
      </c>
      <c r="B9" s="91" t="s">
        <v>694</v>
      </c>
      <c r="C9" s="91">
        <v>8</v>
      </c>
      <c r="D9" s="134">
        <v>0.011767433585721248</v>
      </c>
      <c r="E9" s="134">
        <v>1.6047658847038875</v>
      </c>
      <c r="F9" s="91" t="s">
        <v>875</v>
      </c>
      <c r="G9" s="91" t="b">
        <v>0</v>
      </c>
      <c r="H9" s="91" t="b">
        <v>0</v>
      </c>
      <c r="I9" s="91" t="b">
        <v>0</v>
      </c>
      <c r="J9" s="91" t="b">
        <v>0</v>
      </c>
      <c r="K9" s="91" t="b">
        <v>0</v>
      </c>
      <c r="L9" s="91" t="b">
        <v>0</v>
      </c>
    </row>
    <row r="10" spans="1:12" ht="15">
      <c r="A10" s="91" t="s">
        <v>694</v>
      </c>
      <c r="B10" s="91" t="s">
        <v>695</v>
      </c>
      <c r="C10" s="91">
        <v>8</v>
      </c>
      <c r="D10" s="134">
        <v>0.011767433585721248</v>
      </c>
      <c r="E10" s="134">
        <v>1.6047658847038875</v>
      </c>
      <c r="F10" s="91" t="s">
        <v>875</v>
      </c>
      <c r="G10" s="91" t="b">
        <v>0</v>
      </c>
      <c r="H10" s="91" t="b">
        <v>0</v>
      </c>
      <c r="I10" s="91" t="b">
        <v>0</v>
      </c>
      <c r="J10" s="91" t="b">
        <v>0</v>
      </c>
      <c r="K10" s="91" t="b">
        <v>0</v>
      </c>
      <c r="L10" s="91" t="b">
        <v>0</v>
      </c>
    </row>
    <row r="11" spans="1:12" ht="15">
      <c r="A11" s="91" t="s">
        <v>695</v>
      </c>
      <c r="B11" s="91" t="s">
        <v>861</v>
      </c>
      <c r="C11" s="91">
        <v>8</v>
      </c>
      <c r="D11" s="134">
        <v>0.011767433585721248</v>
      </c>
      <c r="E11" s="134">
        <v>1.6047658847038875</v>
      </c>
      <c r="F11" s="91" t="s">
        <v>875</v>
      </c>
      <c r="G11" s="91" t="b">
        <v>0</v>
      </c>
      <c r="H11" s="91" t="b">
        <v>0</v>
      </c>
      <c r="I11" s="91" t="b">
        <v>0</v>
      </c>
      <c r="J11" s="91" t="b">
        <v>0</v>
      </c>
      <c r="K11" s="91" t="b">
        <v>0</v>
      </c>
      <c r="L11" s="91" t="b">
        <v>0</v>
      </c>
    </row>
    <row r="12" spans="1:12" ht="15">
      <c r="A12" s="91" t="s">
        <v>861</v>
      </c>
      <c r="B12" s="91" t="s">
        <v>862</v>
      </c>
      <c r="C12" s="91">
        <v>8</v>
      </c>
      <c r="D12" s="134">
        <v>0.011767433585721248</v>
      </c>
      <c r="E12" s="134">
        <v>1.6047658847038875</v>
      </c>
      <c r="F12" s="91" t="s">
        <v>875</v>
      </c>
      <c r="G12" s="91" t="b">
        <v>0</v>
      </c>
      <c r="H12" s="91" t="b">
        <v>0</v>
      </c>
      <c r="I12" s="91" t="b">
        <v>0</v>
      </c>
      <c r="J12" s="91" t="b">
        <v>0</v>
      </c>
      <c r="K12" s="91" t="b">
        <v>0</v>
      </c>
      <c r="L12" s="91" t="b">
        <v>0</v>
      </c>
    </row>
    <row r="13" spans="1:12" ht="15">
      <c r="A13" s="91" t="s">
        <v>862</v>
      </c>
      <c r="B13" s="91" t="s">
        <v>863</v>
      </c>
      <c r="C13" s="91">
        <v>8</v>
      </c>
      <c r="D13" s="134">
        <v>0.011767433585721248</v>
      </c>
      <c r="E13" s="134">
        <v>1.6047658847038875</v>
      </c>
      <c r="F13" s="91" t="s">
        <v>875</v>
      </c>
      <c r="G13" s="91" t="b">
        <v>0</v>
      </c>
      <c r="H13" s="91" t="b">
        <v>0</v>
      </c>
      <c r="I13" s="91" t="b">
        <v>0</v>
      </c>
      <c r="J13" s="91" t="b">
        <v>0</v>
      </c>
      <c r="K13" s="91" t="b">
        <v>0</v>
      </c>
      <c r="L13" s="91" t="b">
        <v>0</v>
      </c>
    </row>
    <row r="14" spans="1:12" ht="15">
      <c r="A14" s="91" t="s">
        <v>223</v>
      </c>
      <c r="B14" s="91" t="s">
        <v>690</v>
      </c>
      <c r="C14" s="91">
        <v>7</v>
      </c>
      <c r="D14" s="134">
        <v>0.011463009068091747</v>
      </c>
      <c r="E14" s="134">
        <v>1.662757831681574</v>
      </c>
      <c r="F14" s="91" t="s">
        <v>875</v>
      </c>
      <c r="G14" s="91" t="b">
        <v>0</v>
      </c>
      <c r="H14" s="91" t="b">
        <v>0</v>
      </c>
      <c r="I14" s="91" t="b">
        <v>0</v>
      </c>
      <c r="J14" s="91" t="b">
        <v>0</v>
      </c>
      <c r="K14" s="91" t="b">
        <v>0</v>
      </c>
      <c r="L14" s="91" t="b">
        <v>0</v>
      </c>
    </row>
    <row r="15" spans="1:12" ht="15">
      <c r="A15" s="91" t="s">
        <v>863</v>
      </c>
      <c r="B15" s="91" t="s">
        <v>864</v>
      </c>
      <c r="C15" s="91">
        <v>7</v>
      </c>
      <c r="D15" s="134">
        <v>0.011463009068091747</v>
      </c>
      <c r="E15" s="134">
        <v>1.6047658847038873</v>
      </c>
      <c r="F15" s="91" t="s">
        <v>875</v>
      </c>
      <c r="G15" s="91" t="b">
        <v>0</v>
      </c>
      <c r="H15" s="91" t="b">
        <v>0</v>
      </c>
      <c r="I15" s="91" t="b">
        <v>0</v>
      </c>
      <c r="J15" s="91" t="b">
        <v>0</v>
      </c>
      <c r="K15" s="91" t="b">
        <v>0</v>
      </c>
      <c r="L15" s="91" t="b">
        <v>0</v>
      </c>
    </row>
    <row r="16" spans="1:12" ht="15">
      <c r="A16" s="91" t="s">
        <v>709</v>
      </c>
      <c r="B16" s="91" t="s">
        <v>710</v>
      </c>
      <c r="C16" s="91">
        <v>5</v>
      </c>
      <c r="D16" s="134">
        <v>0.010287404362568954</v>
      </c>
      <c r="E16" s="134">
        <v>1.7297046213121872</v>
      </c>
      <c r="F16" s="91" t="s">
        <v>875</v>
      </c>
      <c r="G16" s="91" t="b">
        <v>0</v>
      </c>
      <c r="H16" s="91" t="b">
        <v>0</v>
      </c>
      <c r="I16" s="91" t="b">
        <v>0</v>
      </c>
      <c r="J16" s="91" t="b">
        <v>0</v>
      </c>
      <c r="K16" s="91" t="b">
        <v>0</v>
      </c>
      <c r="L16" s="91" t="b">
        <v>0</v>
      </c>
    </row>
    <row r="17" spans="1:12" ht="15">
      <c r="A17" s="91" t="s">
        <v>703</v>
      </c>
      <c r="B17" s="91" t="s">
        <v>233</v>
      </c>
      <c r="C17" s="91">
        <v>4</v>
      </c>
      <c r="D17" s="134">
        <v>0.009343831685550063</v>
      </c>
      <c r="E17" s="134">
        <v>1.9057958803678685</v>
      </c>
      <c r="F17" s="91" t="s">
        <v>875</v>
      </c>
      <c r="G17" s="91" t="b">
        <v>0</v>
      </c>
      <c r="H17" s="91" t="b">
        <v>0</v>
      </c>
      <c r="I17" s="91" t="b">
        <v>0</v>
      </c>
      <c r="J17" s="91" t="b">
        <v>0</v>
      </c>
      <c r="K17" s="91" t="b">
        <v>0</v>
      </c>
      <c r="L17" s="91" t="b">
        <v>0</v>
      </c>
    </row>
    <row r="18" spans="1:12" ht="15">
      <c r="A18" s="91" t="s">
        <v>233</v>
      </c>
      <c r="B18" s="91" t="s">
        <v>704</v>
      </c>
      <c r="C18" s="91">
        <v>4</v>
      </c>
      <c r="D18" s="134">
        <v>0.009343831685550063</v>
      </c>
      <c r="E18" s="134">
        <v>1.9057958803678685</v>
      </c>
      <c r="F18" s="91" t="s">
        <v>875</v>
      </c>
      <c r="G18" s="91" t="b">
        <v>0</v>
      </c>
      <c r="H18" s="91" t="b">
        <v>0</v>
      </c>
      <c r="I18" s="91" t="b">
        <v>0</v>
      </c>
      <c r="J18" s="91" t="b">
        <v>0</v>
      </c>
      <c r="K18" s="91" t="b">
        <v>0</v>
      </c>
      <c r="L18" s="91" t="b">
        <v>0</v>
      </c>
    </row>
    <row r="19" spans="1:12" ht="15">
      <c r="A19" s="91" t="s">
        <v>704</v>
      </c>
      <c r="B19" s="91" t="s">
        <v>705</v>
      </c>
      <c r="C19" s="91">
        <v>4</v>
      </c>
      <c r="D19" s="134">
        <v>0.009343831685550063</v>
      </c>
      <c r="E19" s="134">
        <v>1.808885867359812</v>
      </c>
      <c r="F19" s="91" t="s">
        <v>875</v>
      </c>
      <c r="G19" s="91" t="b">
        <v>0</v>
      </c>
      <c r="H19" s="91" t="b">
        <v>0</v>
      </c>
      <c r="I19" s="91" t="b">
        <v>0</v>
      </c>
      <c r="J19" s="91" t="b">
        <v>0</v>
      </c>
      <c r="K19" s="91" t="b">
        <v>0</v>
      </c>
      <c r="L19" s="91" t="b">
        <v>0</v>
      </c>
    </row>
    <row r="20" spans="1:12" ht="15">
      <c r="A20" s="91" t="s">
        <v>705</v>
      </c>
      <c r="B20" s="91" t="s">
        <v>706</v>
      </c>
      <c r="C20" s="91">
        <v>4</v>
      </c>
      <c r="D20" s="134">
        <v>0.009343831685550063</v>
      </c>
      <c r="E20" s="134">
        <v>1.808885867359812</v>
      </c>
      <c r="F20" s="91" t="s">
        <v>875</v>
      </c>
      <c r="G20" s="91" t="b">
        <v>0</v>
      </c>
      <c r="H20" s="91" t="b">
        <v>0</v>
      </c>
      <c r="I20" s="91" t="b">
        <v>0</v>
      </c>
      <c r="J20" s="91" t="b">
        <v>0</v>
      </c>
      <c r="K20" s="91" t="b">
        <v>0</v>
      </c>
      <c r="L20" s="91" t="b">
        <v>0</v>
      </c>
    </row>
    <row r="21" spans="1:12" ht="15">
      <c r="A21" s="91" t="s">
        <v>706</v>
      </c>
      <c r="B21" s="91" t="s">
        <v>707</v>
      </c>
      <c r="C21" s="91">
        <v>4</v>
      </c>
      <c r="D21" s="134">
        <v>0.009343831685550063</v>
      </c>
      <c r="E21" s="134">
        <v>1.9057958803678685</v>
      </c>
      <c r="F21" s="91" t="s">
        <v>875</v>
      </c>
      <c r="G21" s="91" t="b">
        <v>0</v>
      </c>
      <c r="H21" s="91" t="b">
        <v>0</v>
      </c>
      <c r="I21" s="91" t="b">
        <v>0</v>
      </c>
      <c r="J21" s="91" t="b">
        <v>0</v>
      </c>
      <c r="K21" s="91" t="b">
        <v>0</v>
      </c>
      <c r="L21" s="91" t="b">
        <v>0</v>
      </c>
    </row>
    <row r="22" spans="1:12" ht="15">
      <c r="A22" s="91" t="s">
        <v>707</v>
      </c>
      <c r="B22" s="91" t="s">
        <v>708</v>
      </c>
      <c r="C22" s="91">
        <v>4</v>
      </c>
      <c r="D22" s="134">
        <v>0.009343831685550063</v>
      </c>
      <c r="E22" s="134">
        <v>1.9057958803678685</v>
      </c>
      <c r="F22" s="91" t="s">
        <v>875</v>
      </c>
      <c r="G22" s="91" t="b">
        <v>0</v>
      </c>
      <c r="H22" s="91" t="b">
        <v>0</v>
      </c>
      <c r="I22" s="91" t="b">
        <v>0</v>
      </c>
      <c r="J22" s="91" t="b">
        <v>0</v>
      </c>
      <c r="K22" s="91" t="b">
        <v>0</v>
      </c>
      <c r="L22" s="91" t="b">
        <v>0</v>
      </c>
    </row>
    <row r="23" spans="1:12" ht="15">
      <c r="A23" s="91" t="s">
        <v>708</v>
      </c>
      <c r="B23" s="91" t="s">
        <v>709</v>
      </c>
      <c r="C23" s="91">
        <v>4</v>
      </c>
      <c r="D23" s="134">
        <v>0.009343831685550063</v>
      </c>
      <c r="E23" s="134">
        <v>1.7297046213121872</v>
      </c>
      <c r="F23" s="91" t="s">
        <v>875</v>
      </c>
      <c r="G23" s="91" t="b">
        <v>0</v>
      </c>
      <c r="H23" s="91" t="b">
        <v>0</v>
      </c>
      <c r="I23" s="91" t="b">
        <v>0</v>
      </c>
      <c r="J23" s="91" t="b">
        <v>0</v>
      </c>
      <c r="K23" s="91" t="b">
        <v>0</v>
      </c>
      <c r="L23" s="91" t="b">
        <v>0</v>
      </c>
    </row>
    <row r="24" spans="1:12" ht="15">
      <c r="A24" s="91" t="s">
        <v>712</v>
      </c>
      <c r="B24" s="91" t="s">
        <v>713</v>
      </c>
      <c r="C24" s="91">
        <v>3</v>
      </c>
      <c r="D24" s="134">
        <v>0.00808493183837203</v>
      </c>
      <c r="E24" s="134">
        <v>1.808885867359812</v>
      </c>
      <c r="F24" s="91" t="s">
        <v>875</v>
      </c>
      <c r="G24" s="91" t="b">
        <v>0</v>
      </c>
      <c r="H24" s="91" t="b">
        <v>0</v>
      </c>
      <c r="I24" s="91" t="b">
        <v>0</v>
      </c>
      <c r="J24" s="91" t="b">
        <v>0</v>
      </c>
      <c r="K24" s="91" t="b">
        <v>0</v>
      </c>
      <c r="L24" s="91" t="b">
        <v>0</v>
      </c>
    </row>
    <row r="25" spans="1:12" ht="15">
      <c r="A25" s="91" t="s">
        <v>713</v>
      </c>
      <c r="B25" s="91" t="s">
        <v>714</v>
      </c>
      <c r="C25" s="91">
        <v>3</v>
      </c>
      <c r="D25" s="134">
        <v>0.00808493183837203</v>
      </c>
      <c r="E25" s="134">
        <v>2.0307346169761686</v>
      </c>
      <c r="F25" s="91" t="s">
        <v>875</v>
      </c>
      <c r="G25" s="91" t="b">
        <v>0</v>
      </c>
      <c r="H25" s="91" t="b">
        <v>0</v>
      </c>
      <c r="I25" s="91" t="b">
        <v>0</v>
      </c>
      <c r="J25" s="91" t="b">
        <v>0</v>
      </c>
      <c r="K25" s="91" t="b">
        <v>0</v>
      </c>
      <c r="L25" s="91" t="b">
        <v>0</v>
      </c>
    </row>
    <row r="26" spans="1:12" ht="15">
      <c r="A26" s="91" t="s">
        <v>215</v>
      </c>
      <c r="B26" s="91" t="s">
        <v>703</v>
      </c>
      <c r="C26" s="91">
        <v>3</v>
      </c>
      <c r="D26" s="134">
        <v>0.00808493183837203</v>
      </c>
      <c r="E26" s="134">
        <v>2.0307346169761686</v>
      </c>
      <c r="F26" s="91" t="s">
        <v>875</v>
      </c>
      <c r="G26" s="91" t="b">
        <v>0</v>
      </c>
      <c r="H26" s="91" t="b">
        <v>0</v>
      </c>
      <c r="I26" s="91" t="b">
        <v>0</v>
      </c>
      <c r="J26" s="91" t="b">
        <v>0</v>
      </c>
      <c r="K26" s="91" t="b">
        <v>0</v>
      </c>
      <c r="L26" s="91" t="b">
        <v>0</v>
      </c>
    </row>
    <row r="27" spans="1:12" ht="15">
      <c r="A27" s="91" t="s">
        <v>710</v>
      </c>
      <c r="B27" s="91" t="s">
        <v>865</v>
      </c>
      <c r="C27" s="91">
        <v>3</v>
      </c>
      <c r="D27" s="134">
        <v>0.00808493183837203</v>
      </c>
      <c r="E27" s="134">
        <v>1.808885867359812</v>
      </c>
      <c r="F27" s="91" t="s">
        <v>875</v>
      </c>
      <c r="G27" s="91" t="b">
        <v>0</v>
      </c>
      <c r="H27" s="91" t="b">
        <v>0</v>
      </c>
      <c r="I27" s="91" t="b">
        <v>0</v>
      </c>
      <c r="J27" s="91" t="b">
        <v>0</v>
      </c>
      <c r="K27" s="91" t="b">
        <v>0</v>
      </c>
      <c r="L27" s="91" t="b">
        <v>0</v>
      </c>
    </row>
    <row r="28" spans="1:12" ht="15">
      <c r="A28" s="91" t="s">
        <v>714</v>
      </c>
      <c r="B28" s="91" t="s">
        <v>668</v>
      </c>
      <c r="C28" s="91">
        <v>2</v>
      </c>
      <c r="D28" s="134">
        <v>0.006401973289119751</v>
      </c>
      <c r="E28" s="134">
        <v>1.4866665726258927</v>
      </c>
      <c r="F28" s="91" t="s">
        <v>875</v>
      </c>
      <c r="G28" s="91" t="b">
        <v>0</v>
      </c>
      <c r="H28" s="91" t="b">
        <v>0</v>
      </c>
      <c r="I28" s="91" t="b">
        <v>0</v>
      </c>
      <c r="J28" s="91" t="b">
        <v>0</v>
      </c>
      <c r="K28" s="91" t="b">
        <v>0</v>
      </c>
      <c r="L28" s="91" t="b">
        <v>0</v>
      </c>
    </row>
    <row r="29" spans="1:12" ht="15">
      <c r="A29" s="91" t="s">
        <v>668</v>
      </c>
      <c r="B29" s="91" t="s">
        <v>685</v>
      </c>
      <c r="C29" s="91">
        <v>2</v>
      </c>
      <c r="D29" s="134">
        <v>0.006401973289119751</v>
      </c>
      <c r="E29" s="134">
        <v>0.7407000056136503</v>
      </c>
      <c r="F29" s="91" t="s">
        <v>875</v>
      </c>
      <c r="G29" s="91" t="b">
        <v>0</v>
      </c>
      <c r="H29" s="91" t="b">
        <v>0</v>
      </c>
      <c r="I29" s="91" t="b">
        <v>0</v>
      </c>
      <c r="J29" s="91" t="b">
        <v>0</v>
      </c>
      <c r="K29" s="91" t="b">
        <v>0</v>
      </c>
      <c r="L29" s="91" t="b">
        <v>0</v>
      </c>
    </row>
    <row r="30" spans="1:12" ht="15">
      <c r="A30" s="91" t="s">
        <v>685</v>
      </c>
      <c r="B30" s="91" t="s">
        <v>715</v>
      </c>
      <c r="C30" s="91">
        <v>2</v>
      </c>
      <c r="D30" s="134">
        <v>0.006401973289119751</v>
      </c>
      <c r="E30" s="134">
        <v>1.217821260333313</v>
      </c>
      <c r="F30" s="91" t="s">
        <v>875</v>
      </c>
      <c r="G30" s="91" t="b">
        <v>0</v>
      </c>
      <c r="H30" s="91" t="b">
        <v>0</v>
      </c>
      <c r="I30" s="91" t="b">
        <v>0</v>
      </c>
      <c r="J30" s="91" t="b">
        <v>0</v>
      </c>
      <c r="K30" s="91" t="b">
        <v>0</v>
      </c>
      <c r="L30" s="91" t="b">
        <v>0</v>
      </c>
    </row>
    <row r="31" spans="1:12" ht="15">
      <c r="A31" s="91" t="s">
        <v>715</v>
      </c>
      <c r="B31" s="91" t="s">
        <v>716</v>
      </c>
      <c r="C31" s="91">
        <v>2</v>
      </c>
      <c r="D31" s="134">
        <v>0.006401973289119751</v>
      </c>
      <c r="E31" s="134">
        <v>2.0307346169761686</v>
      </c>
      <c r="F31" s="91" t="s">
        <v>875</v>
      </c>
      <c r="G31" s="91" t="b">
        <v>0</v>
      </c>
      <c r="H31" s="91" t="b">
        <v>0</v>
      </c>
      <c r="I31" s="91" t="b">
        <v>0</v>
      </c>
      <c r="J31" s="91" t="b">
        <v>0</v>
      </c>
      <c r="K31" s="91" t="b">
        <v>0</v>
      </c>
      <c r="L31" s="91" t="b">
        <v>0</v>
      </c>
    </row>
    <row r="32" spans="1:12" ht="15">
      <c r="A32" s="91" t="s">
        <v>716</v>
      </c>
      <c r="B32" s="91" t="s">
        <v>688</v>
      </c>
      <c r="C32" s="91">
        <v>2</v>
      </c>
      <c r="D32" s="134">
        <v>0.006401973289119751</v>
      </c>
      <c r="E32" s="134">
        <v>1.662757831681574</v>
      </c>
      <c r="F32" s="91" t="s">
        <v>875</v>
      </c>
      <c r="G32" s="91" t="b">
        <v>0</v>
      </c>
      <c r="H32" s="91" t="b">
        <v>0</v>
      </c>
      <c r="I32" s="91" t="b">
        <v>0</v>
      </c>
      <c r="J32" s="91" t="b">
        <v>0</v>
      </c>
      <c r="K32" s="91" t="b">
        <v>0</v>
      </c>
      <c r="L32" s="91" t="b">
        <v>0</v>
      </c>
    </row>
    <row r="33" spans="1:12" ht="15">
      <c r="A33" s="91" t="s">
        <v>688</v>
      </c>
      <c r="B33" s="91" t="s">
        <v>238</v>
      </c>
      <c r="C33" s="91">
        <v>2</v>
      </c>
      <c r="D33" s="134">
        <v>0.006401973289119751</v>
      </c>
      <c r="E33" s="134">
        <v>1.808885867359812</v>
      </c>
      <c r="F33" s="91" t="s">
        <v>875</v>
      </c>
      <c r="G33" s="91" t="b">
        <v>0</v>
      </c>
      <c r="H33" s="91" t="b">
        <v>0</v>
      </c>
      <c r="I33" s="91" t="b">
        <v>0</v>
      </c>
      <c r="J33" s="91" t="b">
        <v>0</v>
      </c>
      <c r="K33" s="91" t="b">
        <v>0</v>
      </c>
      <c r="L33" s="91" t="b">
        <v>0</v>
      </c>
    </row>
    <row r="34" spans="1:12" ht="15">
      <c r="A34" s="91" t="s">
        <v>668</v>
      </c>
      <c r="B34" s="91" t="s">
        <v>866</v>
      </c>
      <c r="C34" s="91">
        <v>2</v>
      </c>
      <c r="D34" s="134">
        <v>0.006401973289119751</v>
      </c>
      <c r="E34" s="134">
        <v>1.553613362256506</v>
      </c>
      <c r="F34" s="91" t="s">
        <v>875</v>
      </c>
      <c r="G34" s="91" t="b">
        <v>0</v>
      </c>
      <c r="H34" s="91" t="b">
        <v>0</v>
      </c>
      <c r="I34" s="91" t="b">
        <v>0</v>
      </c>
      <c r="J34" s="91" t="b">
        <v>0</v>
      </c>
      <c r="K34" s="91" t="b">
        <v>0</v>
      </c>
      <c r="L34" s="91" t="b">
        <v>0</v>
      </c>
    </row>
    <row r="35" spans="1:12" ht="15">
      <c r="A35" s="91" t="s">
        <v>866</v>
      </c>
      <c r="B35" s="91" t="s">
        <v>685</v>
      </c>
      <c r="C35" s="91">
        <v>2</v>
      </c>
      <c r="D35" s="134">
        <v>0.006401973289119751</v>
      </c>
      <c r="E35" s="134">
        <v>1.393912519388994</v>
      </c>
      <c r="F35" s="91" t="s">
        <v>875</v>
      </c>
      <c r="G35" s="91" t="b">
        <v>0</v>
      </c>
      <c r="H35" s="91" t="b">
        <v>0</v>
      </c>
      <c r="I35" s="91" t="b">
        <v>0</v>
      </c>
      <c r="J35" s="91" t="b">
        <v>0</v>
      </c>
      <c r="K35" s="91" t="b">
        <v>0</v>
      </c>
      <c r="L35" s="91" t="b">
        <v>0</v>
      </c>
    </row>
    <row r="36" spans="1:12" ht="15">
      <c r="A36" s="91" t="s">
        <v>668</v>
      </c>
      <c r="B36" s="91" t="s">
        <v>719</v>
      </c>
      <c r="C36" s="91">
        <v>2</v>
      </c>
      <c r="D36" s="134">
        <v>0.006401973289119751</v>
      </c>
      <c r="E36" s="134">
        <v>1.553613362256506</v>
      </c>
      <c r="F36" s="91" t="s">
        <v>875</v>
      </c>
      <c r="G36" s="91" t="b">
        <v>0</v>
      </c>
      <c r="H36" s="91" t="b">
        <v>0</v>
      </c>
      <c r="I36" s="91" t="b">
        <v>0</v>
      </c>
      <c r="J36" s="91" t="b">
        <v>0</v>
      </c>
      <c r="K36" s="91" t="b">
        <v>0</v>
      </c>
      <c r="L36" s="91" t="b">
        <v>0</v>
      </c>
    </row>
    <row r="37" spans="1:12" ht="15">
      <c r="A37" s="91" t="s">
        <v>688</v>
      </c>
      <c r="B37" s="91" t="s">
        <v>697</v>
      </c>
      <c r="C37" s="91">
        <v>2</v>
      </c>
      <c r="D37" s="134">
        <v>0.006401973289119751</v>
      </c>
      <c r="E37" s="134">
        <v>1.808885867359812</v>
      </c>
      <c r="F37" s="91" t="s">
        <v>875</v>
      </c>
      <c r="G37" s="91" t="b">
        <v>0</v>
      </c>
      <c r="H37" s="91" t="b">
        <v>0</v>
      </c>
      <c r="I37" s="91" t="b">
        <v>0</v>
      </c>
      <c r="J37" s="91" t="b">
        <v>0</v>
      </c>
      <c r="K37" s="91" t="b">
        <v>0</v>
      </c>
      <c r="L37" s="91" t="b">
        <v>0</v>
      </c>
    </row>
    <row r="38" spans="1:12" ht="15">
      <c r="A38" s="91" t="s">
        <v>697</v>
      </c>
      <c r="B38" s="91" t="s">
        <v>698</v>
      </c>
      <c r="C38" s="91">
        <v>2</v>
      </c>
      <c r="D38" s="134">
        <v>0.006401973289119751</v>
      </c>
      <c r="E38" s="134">
        <v>2.20682587603185</v>
      </c>
      <c r="F38" s="91" t="s">
        <v>875</v>
      </c>
      <c r="G38" s="91" t="b">
        <v>0</v>
      </c>
      <c r="H38" s="91" t="b">
        <v>0</v>
      </c>
      <c r="I38" s="91" t="b">
        <v>0</v>
      </c>
      <c r="J38" s="91" t="b">
        <v>0</v>
      </c>
      <c r="K38" s="91" t="b">
        <v>0</v>
      </c>
      <c r="L38" s="91" t="b">
        <v>0</v>
      </c>
    </row>
    <row r="39" spans="1:12" ht="15">
      <c r="A39" s="91" t="s">
        <v>698</v>
      </c>
      <c r="B39" s="91" t="s">
        <v>699</v>
      </c>
      <c r="C39" s="91">
        <v>2</v>
      </c>
      <c r="D39" s="134">
        <v>0.006401973289119751</v>
      </c>
      <c r="E39" s="134">
        <v>2.20682587603185</v>
      </c>
      <c r="F39" s="91" t="s">
        <v>875</v>
      </c>
      <c r="G39" s="91" t="b">
        <v>0</v>
      </c>
      <c r="H39" s="91" t="b">
        <v>0</v>
      </c>
      <c r="I39" s="91" t="b">
        <v>0</v>
      </c>
      <c r="J39" s="91" t="b">
        <v>0</v>
      </c>
      <c r="K39" s="91" t="b">
        <v>0</v>
      </c>
      <c r="L39" s="91" t="b">
        <v>0</v>
      </c>
    </row>
    <row r="40" spans="1:12" ht="15">
      <c r="A40" s="91" t="s">
        <v>699</v>
      </c>
      <c r="B40" s="91" t="s">
        <v>700</v>
      </c>
      <c r="C40" s="91">
        <v>2</v>
      </c>
      <c r="D40" s="134">
        <v>0.006401973289119751</v>
      </c>
      <c r="E40" s="134">
        <v>2.20682587603185</v>
      </c>
      <c r="F40" s="91" t="s">
        <v>875</v>
      </c>
      <c r="G40" s="91" t="b">
        <v>0</v>
      </c>
      <c r="H40" s="91" t="b">
        <v>0</v>
      </c>
      <c r="I40" s="91" t="b">
        <v>0</v>
      </c>
      <c r="J40" s="91" t="b">
        <v>0</v>
      </c>
      <c r="K40" s="91" t="b">
        <v>0</v>
      </c>
      <c r="L40" s="91" t="b">
        <v>0</v>
      </c>
    </row>
    <row r="41" spans="1:12" ht="15">
      <c r="A41" s="91" t="s">
        <v>700</v>
      </c>
      <c r="B41" s="91" t="s">
        <v>701</v>
      </c>
      <c r="C41" s="91">
        <v>2</v>
      </c>
      <c r="D41" s="134">
        <v>0.006401973289119751</v>
      </c>
      <c r="E41" s="134">
        <v>2.20682587603185</v>
      </c>
      <c r="F41" s="91" t="s">
        <v>875</v>
      </c>
      <c r="G41" s="91" t="b">
        <v>0</v>
      </c>
      <c r="H41" s="91" t="b">
        <v>0</v>
      </c>
      <c r="I41" s="91" t="b">
        <v>0</v>
      </c>
      <c r="J41" s="91" t="b">
        <v>0</v>
      </c>
      <c r="K41" s="91" t="b">
        <v>0</v>
      </c>
      <c r="L41" s="91" t="b">
        <v>0</v>
      </c>
    </row>
    <row r="42" spans="1:12" ht="15">
      <c r="A42" s="91" t="s">
        <v>701</v>
      </c>
      <c r="B42" s="91" t="s">
        <v>232</v>
      </c>
      <c r="C42" s="91">
        <v>2</v>
      </c>
      <c r="D42" s="134">
        <v>0.006401973289119751</v>
      </c>
      <c r="E42" s="134">
        <v>2.20682587603185</v>
      </c>
      <c r="F42" s="91" t="s">
        <v>875</v>
      </c>
      <c r="G42" s="91" t="b">
        <v>0</v>
      </c>
      <c r="H42" s="91" t="b">
        <v>0</v>
      </c>
      <c r="I42" s="91" t="b">
        <v>0</v>
      </c>
      <c r="J42" s="91" t="b">
        <v>0</v>
      </c>
      <c r="K42" s="91" t="b">
        <v>0</v>
      </c>
      <c r="L42" s="91" t="b">
        <v>0</v>
      </c>
    </row>
    <row r="43" spans="1:12" ht="15">
      <c r="A43" s="91" t="s">
        <v>232</v>
      </c>
      <c r="B43" s="91" t="s">
        <v>871</v>
      </c>
      <c r="C43" s="91">
        <v>2</v>
      </c>
      <c r="D43" s="134">
        <v>0.006401973289119751</v>
      </c>
      <c r="E43" s="134">
        <v>2.20682587603185</v>
      </c>
      <c r="F43" s="91" t="s">
        <v>875</v>
      </c>
      <c r="G43" s="91" t="b">
        <v>0</v>
      </c>
      <c r="H43" s="91" t="b">
        <v>0</v>
      </c>
      <c r="I43" s="91" t="b">
        <v>0</v>
      </c>
      <c r="J43" s="91" t="b">
        <v>0</v>
      </c>
      <c r="K43" s="91" t="b">
        <v>0</v>
      </c>
      <c r="L43" s="91" t="b">
        <v>0</v>
      </c>
    </row>
    <row r="44" spans="1:12" ht="15">
      <c r="A44" s="91" t="s">
        <v>871</v>
      </c>
      <c r="B44" s="91" t="s">
        <v>721</v>
      </c>
      <c r="C44" s="91">
        <v>2</v>
      </c>
      <c r="D44" s="134">
        <v>0.006401973289119751</v>
      </c>
      <c r="E44" s="134">
        <v>1.9057958803678685</v>
      </c>
      <c r="F44" s="91" t="s">
        <v>875</v>
      </c>
      <c r="G44" s="91" t="b">
        <v>0</v>
      </c>
      <c r="H44" s="91" t="b">
        <v>0</v>
      </c>
      <c r="I44" s="91" t="b">
        <v>0</v>
      </c>
      <c r="J44" s="91" t="b">
        <v>0</v>
      </c>
      <c r="K44" s="91" t="b">
        <v>0</v>
      </c>
      <c r="L44" s="91" t="b">
        <v>0</v>
      </c>
    </row>
    <row r="45" spans="1:12" ht="15">
      <c r="A45" s="91" t="s">
        <v>721</v>
      </c>
      <c r="B45" s="91" t="s">
        <v>872</v>
      </c>
      <c r="C45" s="91">
        <v>2</v>
      </c>
      <c r="D45" s="134">
        <v>0.006401973289119751</v>
      </c>
      <c r="E45" s="134">
        <v>1.9057958803678685</v>
      </c>
      <c r="F45" s="91" t="s">
        <v>875</v>
      </c>
      <c r="G45" s="91" t="b">
        <v>0</v>
      </c>
      <c r="H45" s="91" t="b">
        <v>0</v>
      </c>
      <c r="I45" s="91" t="b">
        <v>0</v>
      </c>
      <c r="J45" s="91" t="b">
        <v>0</v>
      </c>
      <c r="K45" s="91" t="b">
        <v>0</v>
      </c>
      <c r="L45" s="91" t="b">
        <v>0</v>
      </c>
    </row>
    <row r="46" spans="1:12" ht="15">
      <c r="A46" s="91" t="s">
        <v>872</v>
      </c>
      <c r="B46" s="91" t="s">
        <v>669</v>
      </c>
      <c r="C46" s="91">
        <v>2</v>
      </c>
      <c r="D46" s="134">
        <v>0.006401973289119751</v>
      </c>
      <c r="E46" s="134">
        <v>2.0307346169761686</v>
      </c>
      <c r="F46" s="91" t="s">
        <v>875</v>
      </c>
      <c r="G46" s="91" t="b">
        <v>0</v>
      </c>
      <c r="H46" s="91" t="b">
        <v>0</v>
      </c>
      <c r="I46" s="91" t="b">
        <v>0</v>
      </c>
      <c r="J46" s="91" t="b">
        <v>0</v>
      </c>
      <c r="K46" s="91" t="b">
        <v>0</v>
      </c>
      <c r="L46" s="91" t="b">
        <v>0</v>
      </c>
    </row>
    <row r="47" spans="1:12" ht="15">
      <c r="A47" s="91" t="s">
        <v>690</v>
      </c>
      <c r="B47" s="91" t="s">
        <v>691</v>
      </c>
      <c r="C47" s="91">
        <v>8</v>
      </c>
      <c r="D47" s="134">
        <v>0</v>
      </c>
      <c r="E47" s="134">
        <v>1.161368002234975</v>
      </c>
      <c r="F47" s="91" t="s">
        <v>615</v>
      </c>
      <c r="G47" s="91" t="b">
        <v>0</v>
      </c>
      <c r="H47" s="91" t="b">
        <v>0</v>
      </c>
      <c r="I47" s="91" t="b">
        <v>0</v>
      </c>
      <c r="J47" s="91" t="b">
        <v>0</v>
      </c>
      <c r="K47" s="91" t="b">
        <v>0</v>
      </c>
      <c r="L47" s="91" t="b">
        <v>0</v>
      </c>
    </row>
    <row r="48" spans="1:12" ht="15">
      <c r="A48" s="91" t="s">
        <v>691</v>
      </c>
      <c r="B48" s="91" t="s">
        <v>687</v>
      </c>
      <c r="C48" s="91">
        <v>8</v>
      </c>
      <c r="D48" s="134">
        <v>0</v>
      </c>
      <c r="E48" s="134">
        <v>1.161368002234975</v>
      </c>
      <c r="F48" s="91" t="s">
        <v>615</v>
      </c>
      <c r="G48" s="91" t="b">
        <v>0</v>
      </c>
      <c r="H48" s="91" t="b">
        <v>0</v>
      </c>
      <c r="I48" s="91" t="b">
        <v>0</v>
      </c>
      <c r="J48" s="91" t="b">
        <v>0</v>
      </c>
      <c r="K48" s="91" t="b">
        <v>0</v>
      </c>
      <c r="L48" s="91" t="b">
        <v>0</v>
      </c>
    </row>
    <row r="49" spans="1:12" ht="15">
      <c r="A49" s="91" t="s">
        <v>687</v>
      </c>
      <c r="B49" s="91" t="s">
        <v>686</v>
      </c>
      <c r="C49" s="91">
        <v>8</v>
      </c>
      <c r="D49" s="134">
        <v>0</v>
      </c>
      <c r="E49" s="134">
        <v>1.161368002234975</v>
      </c>
      <c r="F49" s="91" t="s">
        <v>615</v>
      </c>
      <c r="G49" s="91" t="b">
        <v>0</v>
      </c>
      <c r="H49" s="91" t="b">
        <v>0</v>
      </c>
      <c r="I49" s="91" t="b">
        <v>0</v>
      </c>
      <c r="J49" s="91" t="b">
        <v>0</v>
      </c>
      <c r="K49" s="91" t="b">
        <v>0</v>
      </c>
      <c r="L49" s="91" t="b">
        <v>0</v>
      </c>
    </row>
    <row r="50" spans="1:12" ht="15">
      <c r="A50" s="91" t="s">
        <v>686</v>
      </c>
      <c r="B50" s="91" t="s">
        <v>685</v>
      </c>
      <c r="C50" s="91">
        <v>8</v>
      </c>
      <c r="D50" s="134">
        <v>0</v>
      </c>
      <c r="E50" s="134">
        <v>1.161368002234975</v>
      </c>
      <c r="F50" s="91" t="s">
        <v>615</v>
      </c>
      <c r="G50" s="91" t="b">
        <v>0</v>
      </c>
      <c r="H50" s="91" t="b">
        <v>0</v>
      </c>
      <c r="I50" s="91" t="b">
        <v>0</v>
      </c>
      <c r="J50" s="91" t="b">
        <v>0</v>
      </c>
      <c r="K50" s="91" t="b">
        <v>0</v>
      </c>
      <c r="L50" s="91" t="b">
        <v>0</v>
      </c>
    </row>
    <row r="51" spans="1:12" ht="15">
      <c r="A51" s="91" t="s">
        <v>685</v>
      </c>
      <c r="B51" s="91" t="s">
        <v>692</v>
      </c>
      <c r="C51" s="91">
        <v>8</v>
      </c>
      <c r="D51" s="134">
        <v>0</v>
      </c>
      <c r="E51" s="134">
        <v>1.161368002234975</v>
      </c>
      <c r="F51" s="91" t="s">
        <v>615</v>
      </c>
      <c r="G51" s="91" t="b">
        <v>0</v>
      </c>
      <c r="H51" s="91" t="b">
        <v>0</v>
      </c>
      <c r="I51" s="91" t="b">
        <v>0</v>
      </c>
      <c r="J51" s="91" t="b">
        <v>0</v>
      </c>
      <c r="K51" s="91" t="b">
        <v>0</v>
      </c>
      <c r="L51" s="91" t="b">
        <v>0</v>
      </c>
    </row>
    <row r="52" spans="1:12" ht="15">
      <c r="A52" s="91" t="s">
        <v>692</v>
      </c>
      <c r="B52" s="91" t="s">
        <v>234</v>
      </c>
      <c r="C52" s="91">
        <v>8</v>
      </c>
      <c r="D52" s="134">
        <v>0</v>
      </c>
      <c r="E52" s="134">
        <v>1.161368002234975</v>
      </c>
      <c r="F52" s="91" t="s">
        <v>615</v>
      </c>
      <c r="G52" s="91" t="b">
        <v>0</v>
      </c>
      <c r="H52" s="91" t="b">
        <v>0</v>
      </c>
      <c r="I52" s="91" t="b">
        <v>0</v>
      </c>
      <c r="J52" s="91" t="b">
        <v>0</v>
      </c>
      <c r="K52" s="91" t="b">
        <v>0</v>
      </c>
      <c r="L52" s="91" t="b">
        <v>0</v>
      </c>
    </row>
    <row r="53" spans="1:12" ht="15">
      <c r="A53" s="91" t="s">
        <v>234</v>
      </c>
      <c r="B53" s="91" t="s">
        <v>693</v>
      </c>
      <c r="C53" s="91">
        <v>8</v>
      </c>
      <c r="D53" s="134">
        <v>0</v>
      </c>
      <c r="E53" s="134">
        <v>1.161368002234975</v>
      </c>
      <c r="F53" s="91" t="s">
        <v>615</v>
      </c>
      <c r="G53" s="91" t="b">
        <v>0</v>
      </c>
      <c r="H53" s="91" t="b">
        <v>0</v>
      </c>
      <c r="I53" s="91" t="b">
        <v>0</v>
      </c>
      <c r="J53" s="91" t="b">
        <v>0</v>
      </c>
      <c r="K53" s="91" t="b">
        <v>0</v>
      </c>
      <c r="L53" s="91" t="b">
        <v>0</v>
      </c>
    </row>
    <row r="54" spans="1:12" ht="15">
      <c r="A54" s="91" t="s">
        <v>693</v>
      </c>
      <c r="B54" s="91" t="s">
        <v>694</v>
      </c>
      <c r="C54" s="91">
        <v>8</v>
      </c>
      <c r="D54" s="134">
        <v>0</v>
      </c>
      <c r="E54" s="134">
        <v>1.161368002234975</v>
      </c>
      <c r="F54" s="91" t="s">
        <v>615</v>
      </c>
      <c r="G54" s="91" t="b">
        <v>0</v>
      </c>
      <c r="H54" s="91" t="b">
        <v>0</v>
      </c>
      <c r="I54" s="91" t="b">
        <v>0</v>
      </c>
      <c r="J54" s="91" t="b">
        <v>0</v>
      </c>
      <c r="K54" s="91" t="b">
        <v>0</v>
      </c>
      <c r="L54" s="91" t="b">
        <v>0</v>
      </c>
    </row>
    <row r="55" spans="1:12" ht="15">
      <c r="A55" s="91" t="s">
        <v>694</v>
      </c>
      <c r="B55" s="91" t="s">
        <v>695</v>
      </c>
      <c r="C55" s="91">
        <v>8</v>
      </c>
      <c r="D55" s="134">
        <v>0</v>
      </c>
      <c r="E55" s="134">
        <v>1.161368002234975</v>
      </c>
      <c r="F55" s="91" t="s">
        <v>615</v>
      </c>
      <c r="G55" s="91" t="b">
        <v>0</v>
      </c>
      <c r="H55" s="91" t="b">
        <v>0</v>
      </c>
      <c r="I55" s="91" t="b">
        <v>0</v>
      </c>
      <c r="J55" s="91" t="b">
        <v>0</v>
      </c>
      <c r="K55" s="91" t="b">
        <v>0</v>
      </c>
      <c r="L55" s="91" t="b">
        <v>0</v>
      </c>
    </row>
    <row r="56" spans="1:12" ht="15">
      <c r="A56" s="91" t="s">
        <v>695</v>
      </c>
      <c r="B56" s="91" t="s">
        <v>861</v>
      </c>
      <c r="C56" s="91">
        <v>8</v>
      </c>
      <c r="D56" s="134">
        <v>0</v>
      </c>
      <c r="E56" s="134">
        <v>1.161368002234975</v>
      </c>
      <c r="F56" s="91" t="s">
        <v>615</v>
      </c>
      <c r="G56" s="91" t="b">
        <v>0</v>
      </c>
      <c r="H56" s="91" t="b">
        <v>0</v>
      </c>
      <c r="I56" s="91" t="b">
        <v>0</v>
      </c>
      <c r="J56" s="91" t="b">
        <v>0</v>
      </c>
      <c r="K56" s="91" t="b">
        <v>0</v>
      </c>
      <c r="L56" s="91" t="b">
        <v>0</v>
      </c>
    </row>
    <row r="57" spans="1:12" ht="15">
      <c r="A57" s="91" t="s">
        <v>861</v>
      </c>
      <c r="B57" s="91" t="s">
        <v>862</v>
      </c>
      <c r="C57" s="91">
        <v>8</v>
      </c>
      <c r="D57" s="134">
        <v>0</v>
      </c>
      <c r="E57" s="134">
        <v>1.161368002234975</v>
      </c>
      <c r="F57" s="91" t="s">
        <v>615</v>
      </c>
      <c r="G57" s="91" t="b">
        <v>0</v>
      </c>
      <c r="H57" s="91" t="b">
        <v>0</v>
      </c>
      <c r="I57" s="91" t="b">
        <v>0</v>
      </c>
      <c r="J57" s="91" t="b">
        <v>0</v>
      </c>
      <c r="K57" s="91" t="b">
        <v>0</v>
      </c>
      <c r="L57" s="91" t="b">
        <v>0</v>
      </c>
    </row>
    <row r="58" spans="1:12" ht="15">
      <c r="A58" s="91" t="s">
        <v>862</v>
      </c>
      <c r="B58" s="91" t="s">
        <v>863</v>
      </c>
      <c r="C58" s="91">
        <v>8</v>
      </c>
      <c r="D58" s="134">
        <v>0</v>
      </c>
      <c r="E58" s="134">
        <v>1.161368002234975</v>
      </c>
      <c r="F58" s="91" t="s">
        <v>615</v>
      </c>
      <c r="G58" s="91" t="b">
        <v>0</v>
      </c>
      <c r="H58" s="91" t="b">
        <v>0</v>
      </c>
      <c r="I58" s="91" t="b">
        <v>0</v>
      </c>
      <c r="J58" s="91" t="b">
        <v>0</v>
      </c>
      <c r="K58" s="91" t="b">
        <v>0</v>
      </c>
      <c r="L58" s="91" t="b">
        <v>0</v>
      </c>
    </row>
    <row r="59" spans="1:12" ht="15">
      <c r="A59" s="91" t="s">
        <v>223</v>
      </c>
      <c r="B59" s="91" t="s">
        <v>690</v>
      </c>
      <c r="C59" s="91">
        <v>7</v>
      </c>
      <c r="D59" s="134">
        <v>0.003273738942288767</v>
      </c>
      <c r="E59" s="134">
        <v>1.2193599492126617</v>
      </c>
      <c r="F59" s="91" t="s">
        <v>615</v>
      </c>
      <c r="G59" s="91" t="b">
        <v>0</v>
      </c>
      <c r="H59" s="91" t="b">
        <v>0</v>
      </c>
      <c r="I59" s="91" t="b">
        <v>0</v>
      </c>
      <c r="J59" s="91" t="b">
        <v>0</v>
      </c>
      <c r="K59" s="91" t="b">
        <v>0</v>
      </c>
      <c r="L59" s="91" t="b">
        <v>0</v>
      </c>
    </row>
    <row r="60" spans="1:12" ht="15">
      <c r="A60" s="91" t="s">
        <v>863</v>
      </c>
      <c r="B60" s="91" t="s">
        <v>864</v>
      </c>
      <c r="C60" s="91">
        <v>7</v>
      </c>
      <c r="D60" s="134">
        <v>0.003273738942288767</v>
      </c>
      <c r="E60" s="134">
        <v>1.1613680022349748</v>
      </c>
      <c r="F60" s="91" t="s">
        <v>615</v>
      </c>
      <c r="G60" s="91" t="b">
        <v>0</v>
      </c>
      <c r="H60" s="91" t="b">
        <v>0</v>
      </c>
      <c r="I60" s="91" t="b">
        <v>0</v>
      </c>
      <c r="J60" s="91" t="b">
        <v>0</v>
      </c>
      <c r="K60" s="91" t="b">
        <v>0</v>
      </c>
      <c r="L60" s="91" t="b">
        <v>0</v>
      </c>
    </row>
    <row r="61" spans="1:12" ht="15">
      <c r="A61" s="91" t="s">
        <v>688</v>
      </c>
      <c r="B61" s="91" t="s">
        <v>697</v>
      </c>
      <c r="C61" s="91">
        <v>2</v>
      </c>
      <c r="D61" s="134">
        <v>0.011805097869175734</v>
      </c>
      <c r="E61" s="134">
        <v>1.3710678622717363</v>
      </c>
      <c r="F61" s="91" t="s">
        <v>616</v>
      </c>
      <c r="G61" s="91" t="b">
        <v>0</v>
      </c>
      <c r="H61" s="91" t="b">
        <v>0</v>
      </c>
      <c r="I61" s="91" t="b">
        <v>0</v>
      </c>
      <c r="J61" s="91" t="b">
        <v>0</v>
      </c>
      <c r="K61" s="91" t="b">
        <v>0</v>
      </c>
      <c r="L61" s="91" t="b">
        <v>0</v>
      </c>
    </row>
    <row r="62" spans="1:12" ht="15">
      <c r="A62" s="91" t="s">
        <v>697</v>
      </c>
      <c r="B62" s="91" t="s">
        <v>698</v>
      </c>
      <c r="C62" s="91">
        <v>2</v>
      </c>
      <c r="D62" s="134">
        <v>0.011805097869175734</v>
      </c>
      <c r="E62" s="134">
        <v>1.3710678622717363</v>
      </c>
      <c r="F62" s="91" t="s">
        <v>616</v>
      </c>
      <c r="G62" s="91" t="b">
        <v>0</v>
      </c>
      <c r="H62" s="91" t="b">
        <v>0</v>
      </c>
      <c r="I62" s="91" t="b">
        <v>0</v>
      </c>
      <c r="J62" s="91" t="b">
        <v>0</v>
      </c>
      <c r="K62" s="91" t="b">
        <v>0</v>
      </c>
      <c r="L62" s="91" t="b">
        <v>0</v>
      </c>
    </row>
    <row r="63" spans="1:12" ht="15">
      <c r="A63" s="91" t="s">
        <v>698</v>
      </c>
      <c r="B63" s="91" t="s">
        <v>699</v>
      </c>
      <c r="C63" s="91">
        <v>2</v>
      </c>
      <c r="D63" s="134">
        <v>0.011805097869175734</v>
      </c>
      <c r="E63" s="134">
        <v>1.3710678622717363</v>
      </c>
      <c r="F63" s="91" t="s">
        <v>616</v>
      </c>
      <c r="G63" s="91" t="b">
        <v>0</v>
      </c>
      <c r="H63" s="91" t="b">
        <v>0</v>
      </c>
      <c r="I63" s="91" t="b">
        <v>0</v>
      </c>
      <c r="J63" s="91" t="b">
        <v>0</v>
      </c>
      <c r="K63" s="91" t="b">
        <v>0</v>
      </c>
      <c r="L63" s="91" t="b">
        <v>0</v>
      </c>
    </row>
    <row r="64" spans="1:12" ht="15">
      <c r="A64" s="91" t="s">
        <v>699</v>
      </c>
      <c r="B64" s="91" t="s">
        <v>700</v>
      </c>
      <c r="C64" s="91">
        <v>2</v>
      </c>
      <c r="D64" s="134">
        <v>0.011805097869175734</v>
      </c>
      <c r="E64" s="134">
        <v>1.3710678622717363</v>
      </c>
      <c r="F64" s="91" t="s">
        <v>616</v>
      </c>
      <c r="G64" s="91" t="b">
        <v>0</v>
      </c>
      <c r="H64" s="91" t="b">
        <v>0</v>
      </c>
      <c r="I64" s="91" t="b">
        <v>0</v>
      </c>
      <c r="J64" s="91" t="b">
        <v>0</v>
      </c>
      <c r="K64" s="91" t="b">
        <v>0</v>
      </c>
      <c r="L64" s="91" t="b">
        <v>0</v>
      </c>
    </row>
    <row r="65" spans="1:12" ht="15">
      <c r="A65" s="91" t="s">
        <v>700</v>
      </c>
      <c r="B65" s="91" t="s">
        <v>701</v>
      </c>
      <c r="C65" s="91">
        <v>2</v>
      </c>
      <c r="D65" s="134">
        <v>0.011805097869175734</v>
      </c>
      <c r="E65" s="134">
        <v>1.3710678622717363</v>
      </c>
      <c r="F65" s="91" t="s">
        <v>616</v>
      </c>
      <c r="G65" s="91" t="b">
        <v>0</v>
      </c>
      <c r="H65" s="91" t="b">
        <v>0</v>
      </c>
      <c r="I65" s="91" t="b">
        <v>0</v>
      </c>
      <c r="J65" s="91" t="b">
        <v>0</v>
      </c>
      <c r="K65" s="91" t="b">
        <v>0</v>
      </c>
      <c r="L65" s="91" t="b">
        <v>0</v>
      </c>
    </row>
    <row r="66" spans="1:12" ht="15">
      <c r="A66" s="91" t="s">
        <v>701</v>
      </c>
      <c r="B66" s="91" t="s">
        <v>232</v>
      </c>
      <c r="C66" s="91">
        <v>2</v>
      </c>
      <c r="D66" s="134">
        <v>0.011805097869175734</v>
      </c>
      <c r="E66" s="134">
        <v>1.3710678622717363</v>
      </c>
      <c r="F66" s="91" t="s">
        <v>616</v>
      </c>
      <c r="G66" s="91" t="b">
        <v>0</v>
      </c>
      <c r="H66" s="91" t="b">
        <v>0</v>
      </c>
      <c r="I66" s="91" t="b">
        <v>0</v>
      </c>
      <c r="J66" s="91" t="b">
        <v>0</v>
      </c>
      <c r="K66" s="91" t="b">
        <v>0</v>
      </c>
      <c r="L66" s="91" t="b">
        <v>0</v>
      </c>
    </row>
    <row r="67" spans="1:12" ht="15">
      <c r="A67" s="91" t="s">
        <v>232</v>
      </c>
      <c r="B67" s="91" t="s">
        <v>871</v>
      </c>
      <c r="C67" s="91">
        <v>2</v>
      </c>
      <c r="D67" s="134">
        <v>0.011805097869175734</v>
      </c>
      <c r="E67" s="134">
        <v>1.3710678622717363</v>
      </c>
      <c r="F67" s="91" t="s">
        <v>616</v>
      </c>
      <c r="G67" s="91" t="b">
        <v>0</v>
      </c>
      <c r="H67" s="91" t="b">
        <v>0</v>
      </c>
      <c r="I67" s="91" t="b">
        <v>0</v>
      </c>
      <c r="J67" s="91" t="b">
        <v>0</v>
      </c>
      <c r="K67" s="91" t="b">
        <v>0</v>
      </c>
      <c r="L67" s="91" t="b">
        <v>0</v>
      </c>
    </row>
    <row r="68" spans="1:12" ht="15">
      <c r="A68" s="91" t="s">
        <v>871</v>
      </c>
      <c r="B68" s="91" t="s">
        <v>721</v>
      </c>
      <c r="C68" s="91">
        <v>2</v>
      </c>
      <c r="D68" s="134">
        <v>0.011805097869175734</v>
      </c>
      <c r="E68" s="134">
        <v>1.3710678622717363</v>
      </c>
      <c r="F68" s="91" t="s">
        <v>616</v>
      </c>
      <c r="G68" s="91" t="b">
        <v>0</v>
      </c>
      <c r="H68" s="91" t="b">
        <v>0</v>
      </c>
      <c r="I68" s="91" t="b">
        <v>0</v>
      </c>
      <c r="J68" s="91" t="b">
        <v>0</v>
      </c>
      <c r="K68" s="91" t="b">
        <v>0</v>
      </c>
      <c r="L68" s="91" t="b">
        <v>0</v>
      </c>
    </row>
    <row r="69" spans="1:12" ht="15">
      <c r="A69" s="91" t="s">
        <v>721</v>
      </c>
      <c r="B69" s="91" t="s">
        <v>872</v>
      </c>
      <c r="C69" s="91">
        <v>2</v>
      </c>
      <c r="D69" s="134">
        <v>0.011805097869175734</v>
      </c>
      <c r="E69" s="134">
        <v>1.3710678622717363</v>
      </c>
      <c r="F69" s="91" t="s">
        <v>616</v>
      </c>
      <c r="G69" s="91" t="b">
        <v>0</v>
      </c>
      <c r="H69" s="91" t="b">
        <v>0</v>
      </c>
      <c r="I69" s="91" t="b">
        <v>0</v>
      </c>
      <c r="J69" s="91" t="b">
        <v>0</v>
      </c>
      <c r="K69" s="91" t="b">
        <v>0</v>
      </c>
      <c r="L69" s="91" t="b">
        <v>0</v>
      </c>
    </row>
    <row r="70" spans="1:12" ht="15">
      <c r="A70" s="91" t="s">
        <v>872</v>
      </c>
      <c r="B70" s="91" t="s">
        <v>669</v>
      </c>
      <c r="C70" s="91">
        <v>2</v>
      </c>
      <c r="D70" s="134">
        <v>0.011805097869175734</v>
      </c>
      <c r="E70" s="134">
        <v>1.1949766032160551</v>
      </c>
      <c r="F70" s="91" t="s">
        <v>616</v>
      </c>
      <c r="G70" s="91" t="b">
        <v>0</v>
      </c>
      <c r="H70" s="91" t="b">
        <v>0</v>
      </c>
      <c r="I70" s="91" t="b">
        <v>0</v>
      </c>
      <c r="J70" s="91" t="b">
        <v>0</v>
      </c>
      <c r="K70" s="91" t="b">
        <v>0</v>
      </c>
      <c r="L70" s="91" t="b">
        <v>0</v>
      </c>
    </row>
    <row r="71" spans="1:12" ht="15">
      <c r="A71" s="91" t="s">
        <v>703</v>
      </c>
      <c r="B71" s="91" t="s">
        <v>233</v>
      </c>
      <c r="C71" s="91">
        <v>4</v>
      </c>
      <c r="D71" s="134">
        <v>0</v>
      </c>
      <c r="E71" s="134">
        <v>1.1383026981662814</v>
      </c>
      <c r="F71" s="91" t="s">
        <v>617</v>
      </c>
      <c r="G71" s="91" t="b">
        <v>0</v>
      </c>
      <c r="H71" s="91" t="b">
        <v>0</v>
      </c>
      <c r="I71" s="91" t="b">
        <v>0</v>
      </c>
      <c r="J71" s="91" t="b">
        <v>0</v>
      </c>
      <c r="K71" s="91" t="b">
        <v>0</v>
      </c>
      <c r="L71" s="91" t="b">
        <v>0</v>
      </c>
    </row>
    <row r="72" spans="1:12" ht="15">
      <c r="A72" s="91" t="s">
        <v>233</v>
      </c>
      <c r="B72" s="91" t="s">
        <v>704</v>
      </c>
      <c r="C72" s="91">
        <v>4</v>
      </c>
      <c r="D72" s="134">
        <v>0</v>
      </c>
      <c r="E72" s="134">
        <v>1.1383026981662814</v>
      </c>
      <c r="F72" s="91" t="s">
        <v>617</v>
      </c>
      <c r="G72" s="91" t="b">
        <v>0</v>
      </c>
      <c r="H72" s="91" t="b">
        <v>0</v>
      </c>
      <c r="I72" s="91" t="b">
        <v>0</v>
      </c>
      <c r="J72" s="91" t="b">
        <v>0</v>
      </c>
      <c r="K72" s="91" t="b">
        <v>0</v>
      </c>
      <c r="L72" s="91" t="b">
        <v>0</v>
      </c>
    </row>
    <row r="73" spans="1:12" ht="15">
      <c r="A73" s="91" t="s">
        <v>704</v>
      </c>
      <c r="B73" s="91" t="s">
        <v>705</v>
      </c>
      <c r="C73" s="91">
        <v>4</v>
      </c>
      <c r="D73" s="134">
        <v>0</v>
      </c>
      <c r="E73" s="134">
        <v>1.1383026981662814</v>
      </c>
      <c r="F73" s="91" t="s">
        <v>617</v>
      </c>
      <c r="G73" s="91" t="b">
        <v>0</v>
      </c>
      <c r="H73" s="91" t="b">
        <v>0</v>
      </c>
      <c r="I73" s="91" t="b">
        <v>0</v>
      </c>
      <c r="J73" s="91" t="b">
        <v>0</v>
      </c>
      <c r="K73" s="91" t="b">
        <v>0</v>
      </c>
      <c r="L73" s="91" t="b">
        <v>0</v>
      </c>
    </row>
    <row r="74" spans="1:12" ht="15">
      <c r="A74" s="91" t="s">
        <v>705</v>
      </c>
      <c r="B74" s="91" t="s">
        <v>706</v>
      </c>
      <c r="C74" s="91">
        <v>4</v>
      </c>
      <c r="D74" s="134">
        <v>0</v>
      </c>
      <c r="E74" s="134">
        <v>1.1383026981662814</v>
      </c>
      <c r="F74" s="91" t="s">
        <v>617</v>
      </c>
      <c r="G74" s="91" t="b">
        <v>0</v>
      </c>
      <c r="H74" s="91" t="b">
        <v>0</v>
      </c>
      <c r="I74" s="91" t="b">
        <v>0</v>
      </c>
      <c r="J74" s="91" t="b">
        <v>0</v>
      </c>
      <c r="K74" s="91" t="b">
        <v>0</v>
      </c>
      <c r="L74" s="91" t="b">
        <v>0</v>
      </c>
    </row>
    <row r="75" spans="1:12" ht="15">
      <c r="A75" s="91" t="s">
        <v>706</v>
      </c>
      <c r="B75" s="91" t="s">
        <v>707</v>
      </c>
      <c r="C75" s="91">
        <v>4</v>
      </c>
      <c r="D75" s="134">
        <v>0</v>
      </c>
      <c r="E75" s="134">
        <v>1.1383026981662814</v>
      </c>
      <c r="F75" s="91" t="s">
        <v>617</v>
      </c>
      <c r="G75" s="91" t="b">
        <v>0</v>
      </c>
      <c r="H75" s="91" t="b">
        <v>0</v>
      </c>
      <c r="I75" s="91" t="b">
        <v>0</v>
      </c>
      <c r="J75" s="91" t="b">
        <v>0</v>
      </c>
      <c r="K75" s="91" t="b">
        <v>0</v>
      </c>
      <c r="L75" s="91" t="b">
        <v>0</v>
      </c>
    </row>
    <row r="76" spans="1:12" ht="15">
      <c r="A76" s="91" t="s">
        <v>707</v>
      </c>
      <c r="B76" s="91" t="s">
        <v>708</v>
      </c>
      <c r="C76" s="91">
        <v>4</v>
      </c>
      <c r="D76" s="134">
        <v>0</v>
      </c>
      <c r="E76" s="134">
        <v>1.1383026981662814</v>
      </c>
      <c r="F76" s="91" t="s">
        <v>617</v>
      </c>
      <c r="G76" s="91" t="b">
        <v>0</v>
      </c>
      <c r="H76" s="91" t="b">
        <v>0</v>
      </c>
      <c r="I76" s="91" t="b">
        <v>0</v>
      </c>
      <c r="J76" s="91" t="b">
        <v>0</v>
      </c>
      <c r="K76" s="91" t="b">
        <v>0</v>
      </c>
      <c r="L76" s="91" t="b">
        <v>0</v>
      </c>
    </row>
    <row r="77" spans="1:12" ht="15">
      <c r="A77" s="91" t="s">
        <v>708</v>
      </c>
      <c r="B77" s="91" t="s">
        <v>709</v>
      </c>
      <c r="C77" s="91">
        <v>4</v>
      </c>
      <c r="D77" s="134">
        <v>0</v>
      </c>
      <c r="E77" s="134">
        <v>1.1383026981662814</v>
      </c>
      <c r="F77" s="91" t="s">
        <v>617</v>
      </c>
      <c r="G77" s="91" t="b">
        <v>0</v>
      </c>
      <c r="H77" s="91" t="b">
        <v>0</v>
      </c>
      <c r="I77" s="91" t="b">
        <v>0</v>
      </c>
      <c r="J77" s="91" t="b">
        <v>0</v>
      </c>
      <c r="K77" s="91" t="b">
        <v>0</v>
      </c>
      <c r="L77" s="91" t="b">
        <v>0</v>
      </c>
    </row>
    <row r="78" spans="1:12" ht="15">
      <c r="A78" s="91" t="s">
        <v>709</v>
      </c>
      <c r="B78" s="91" t="s">
        <v>710</v>
      </c>
      <c r="C78" s="91">
        <v>4</v>
      </c>
      <c r="D78" s="134">
        <v>0</v>
      </c>
      <c r="E78" s="134">
        <v>1.1383026981662814</v>
      </c>
      <c r="F78" s="91" t="s">
        <v>617</v>
      </c>
      <c r="G78" s="91" t="b">
        <v>0</v>
      </c>
      <c r="H78" s="91" t="b">
        <v>0</v>
      </c>
      <c r="I78" s="91" t="b">
        <v>0</v>
      </c>
      <c r="J78" s="91" t="b">
        <v>0</v>
      </c>
      <c r="K78" s="91" t="b">
        <v>0</v>
      </c>
      <c r="L78" s="91" t="b">
        <v>0</v>
      </c>
    </row>
    <row r="79" spans="1:12" ht="15">
      <c r="A79" s="91" t="s">
        <v>215</v>
      </c>
      <c r="B79" s="91" t="s">
        <v>703</v>
      </c>
      <c r="C79" s="91">
        <v>3</v>
      </c>
      <c r="D79" s="134">
        <v>0.006352817115676268</v>
      </c>
      <c r="E79" s="134">
        <v>1.2632414347745813</v>
      </c>
      <c r="F79" s="91" t="s">
        <v>617</v>
      </c>
      <c r="G79" s="91" t="b">
        <v>0</v>
      </c>
      <c r="H79" s="91" t="b">
        <v>0</v>
      </c>
      <c r="I79" s="91" t="b">
        <v>0</v>
      </c>
      <c r="J79" s="91" t="b">
        <v>0</v>
      </c>
      <c r="K79" s="91" t="b">
        <v>0</v>
      </c>
      <c r="L79" s="91" t="b">
        <v>0</v>
      </c>
    </row>
    <row r="80" spans="1:12" ht="15">
      <c r="A80" s="91" t="s">
        <v>710</v>
      </c>
      <c r="B80" s="91" t="s">
        <v>865</v>
      </c>
      <c r="C80" s="91">
        <v>3</v>
      </c>
      <c r="D80" s="134">
        <v>0.006352817115676268</v>
      </c>
      <c r="E80" s="134">
        <v>1.1383026981662816</v>
      </c>
      <c r="F80" s="91" t="s">
        <v>617</v>
      </c>
      <c r="G80" s="91" t="b">
        <v>0</v>
      </c>
      <c r="H80" s="91" t="b">
        <v>0</v>
      </c>
      <c r="I80" s="91" t="b">
        <v>0</v>
      </c>
      <c r="J80" s="91" t="b">
        <v>0</v>
      </c>
      <c r="K80" s="91" t="b">
        <v>0</v>
      </c>
      <c r="L80" s="91" t="b">
        <v>0</v>
      </c>
    </row>
    <row r="81" spans="1:12" ht="15">
      <c r="A81" s="91" t="s">
        <v>712</v>
      </c>
      <c r="B81" s="91" t="s">
        <v>713</v>
      </c>
      <c r="C81" s="91">
        <v>2</v>
      </c>
      <c r="D81" s="134">
        <v>0.018244242161453407</v>
      </c>
      <c r="E81" s="134">
        <v>0.9852767431792936</v>
      </c>
      <c r="F81" s="91" t="s">
        <v>618</v>
      </c>
      <c r="G81" s="91" t="b">
        <v>0</v>
      </c>
      <c r="H81" s="91" t="b">
        <v>0</v>
      </c>
      <c r="I81" s="91" t="b">
        <v>0</v>
      </c>
      <c r="J81" s="91" t="b">
        <v>0</v>
      </c>
      <c r="K81" s="91" t="b">
        <v>0</v>
      </c>
      <c r="L81" s="91" t="b">
        <v>0</v>
      </c>
    </row>
    <row r="82" spans="1:12" ht="15">
      <c r="A82" s="91" t="s">
        <v>713</v>
      </c>
      <c r="B82" s="91" t="s">
        <v>714</v>
      </c>
      <c r="C82" s="91">
        <v>2</v>
      </c>
      <c r="D82" s="134">
        <v>0.018244242161453407</v>
      </c>
      <c r="E82" s="134">
        <v>1.161368002234975</v>
      </c>
      <c r="F82" s="91" t="s">
        <v>618</v>
      </c>
      <c r="G82" s="91" t="b">
        <v>0</v>
      </c>
      <c r="H82" s="91" t="b">
        <v>0</v>
      </c>
      <c r="I82" s="91" t="b">
        <v>0</v>
      </c>
      <c r="J82" s="91" t="b">
        <v>0</v>
      </c>
      <c r="K82" s="91" t="b">
        <v>0</v>
      </c>
      <c r="L82" s="91" t="b">
        <v>0</v>
      </c>
    </row>
    <row r="83" spans="1:12" ht="15">
      <c r="A83" s="91" t="s">
        <v>714</v>
      </c>
      <c r="B83" s="91" t="s">
        <v>668</v>
      </c>
      <c r="C83" s="91">
        <v>2</v>
      </c>
      <c r="D83" s="134">
        <v>0.018244242161453407</v>
      </c>
      <c r="E83" s="134">
        <v>0.9852767431792936</v>
      </c>
      <c r="F83" s="91" t="s">
        <v>618</v>
      </c>
      <c r="G83" s="91" t="b">
        <v>0</v>
      </c>
      <c r="H83" s="91" t="b">
        <v>0</v>
      </c>
      <c r="I83" s="91" t="b">
        <v>0</v>
      </c>
      <c r="J83" s="91" t="b">
        <v>0</v>
      </c>
      <c r="K83" s="91" t="b">
        <v>0</v>
      </c>
      <c r="L83" s="91" t="b">
        <v>0</v>
      </c>
    </row>
    <row r="84" spans="1:12" ht="15">
      <c r="A84" s="91" t="s">
        <v>668</v>
      </c>
      <c r="B84" s="91" t="s">
        <v>685</v>
      </c>
      <c r="C84" s="91">
        <v>2</v>
      </c>
      <c r="D84" s="134">
        <v>0.018244242161453407</v>
      </c>
      <c r="E84" s="134">
        <v>0.5593080109070125</v>
      </c>
      <c r="F84" s="91" t="s">
        <v>618</v>
      </c>
      <c r="G84" s="91" t="b">
        <v>0</v>
      </c>
      <c r="H84" s="91" t="b">
        <v>0</v>
      </c>
      <c r="I84" s="91" t="b">
        <v>0</v>
      </c>
      <c r="J84" s="91" t="b">
        <v>0</v>
      </c>
      <c r="K84" s="91" t="b">
        <v>0</v>
      </c>
      <c r="L84" s="91" t="b">
        <v>0</v>
      </c>
    </row>
    <row r="85" spans="1:12" ht="15">
      <c r="A85" s="91" t="s">
        <v>685</v>
      </c>
      <c r="B85" s="91" t="s">
        <v>715</v>
      </c>
      <c r="C85" s="91">
        <v>2</v>
      </c>
      <c r="D85" s="134">
        <v>0.018244242161453407</v>
      </c>
      <c r="E85" s="134">
        <v>0.8603380065709938</v>
      </c>
      <c r="F85" s="91" t="s">
        <v>618</v>
      </c>
      <c r="G85" s="91" t="b">
        <v>0</v>
      </c>
      <c r="H85" s="91" t="b">
        <v>0</v>
      </c>
      <c r="I85" s="91" t="b">
        <v>0</v>
      </c>
      <c r="J85" s="91" t="b">
        <v>0</v>
      </c>
      <c r="K85" s="91" t="b">
        <v>0</v>
      </c>
      <c r="L85" s="91" t="b">
        <v>0</v>
      </c>
    </row>
    <row r="86" spans="1:12" ht="15">
      <c r="A86" s="91" t="s">
        <v>715</v>
      </c>
      <c r="B86" s="91" t="s">
        <v>716</v>
      </c>
      <c r="C86" s="91">
        <v>2</v>
      </c>
      <c r="D86" s="134">
        <v>0.018244242161453407</v>
      </c>
      <c r="E86" s="134">
        <v>1.161368002234975</v>
      </c>
      <c r="F86" s="91" t="s">
        <v>618</v>
      </c>
      <c r="G86" s="91" t="b">
        <v>0</v>
      </c>
      <c r="H86" s="91" t="b">
        <v>0</v>
      </c>
      <c r="I86" s="91" t="b">
        <v>0</v>
      </c>
      <c r="J86" s="91" t="b">
        <v>0</v>
      </c>
      <c r="K86" s="91" t="b">
        <v>0</v>
      </c>
      <c r="L86" s="91" t="b">
        <v>0</v>
      </c>
    </row>
    <row r="87" spans="1:12" ht="15">
      <c r="A87" s="91" t="s">
        <v>716</v>
      </c>
      <c r="B87" s="91" t="s">
        <v>688</v>
      </c>
      <c r="C87" s="91">
        <v>2</v>
      </c>
      <c r="D87" s="134">
        <v>0.018244242161453407</v>
      </c>
      <c r="E87" s="134">
        <v>0.8603380065709938</v>
      </c>
      <c r="F87" s="91" t="s">
        <v>618</v>
      </c>
      <c r="G87" s="91" t="b">
        <v>0</v>
      </c>
      <c r="H87" s="91" t="b">
        <v>0</v>
      </c>
      <c r="I87" s="91" t="b">
        <v>0</v>
      </c>
      <c r="J87" s="91" t="b">
        <v>0</v>
      </c>
      <c r="K87" s="91" t="b">
        <v>0</v>
      </c>
      <c r="L87" s="91" t="b">
        <v>0</v>
      </c>
    </row>
    <row r="88" spans="1:12" ht="15">
      <c r="A88" s="91" t="s">
        <v>688</v>
      </c>
      <c r="B88" s="91" t="s">
        <v>238</v>
      </c>
      <c r="C88" s="91">
        <v>2</v>
      </c>
      <c r="D88" s="134">
        <v>0.018244242161453407</v>
      </c>
      <c r="E88" s="134">
        <v>0.9852767431792936</v>
      </c>
      <c r="F88" s="91" t="s">
        <v>618</v>
      </c>
      <c r="G88" s="91" t="b">
        <v>0</v>
      </c>
      <c r="H88" s="91" t="b">
        <v>0</v>
      </c>
      <c r="I88" s="91" t="b">
        <v>0</v>
      </c>
      <c r="J88" s="91" t="b">
        <v>0</v>
      </c>
      <c r="K88" s="91" t="b">
        <v>0</v>
      </c>
      <c r="L88" s="91" t="b">
        <v>0</v>
      </c>
    </row>
    <row r="89" spans="1:12" ht="15">
      <c r="A89" s="91" t="s">
        <v>668</v>
      </c>
      <c r="B89" s="91" t="s">
        <v>866</v>
      </c>
      <c r="C89" s="91">
        <v>2</v>
      </c>
      <c r="D89" s="134">
        <v>0.018244242161453407</v>
      </c>
      <c r="E89" s="134">
        <v>0.8603380065709938</v>
      </c>
      <c r="F89" s="91" t="s">
        <v>618</v>
      </c>
      <c r="G89" s="91" t="b">
        <v>0</v>
      </c>
      <c r="H89" s="91" t="b">
        <v>0</v>
      </c>
      <c r="I89" s="91" t="b">
        <v>0</v>
      </c>
      <c r="J89" s="91" t="b">
        <v>0</v>
      </c>
      <c r="K89" s="91" t="b">
        <v>0</v>
      </c>
      <c r="L89" s="91" t="b">
        <v>0</v>
      </c>
    </row>
    <row r="90" spans="1:12" ht="15">
      <c r="A90" s="91" t="s">
        <v>866</v>
      </c>
      <c r="B90" s="91" t="s">
        <v>685</v>
      </c>
      <c r="C90" s="91">
        <v>2</v>
      </c>
      <c r="D90" s="134">
        <v>0.018244242161453407</v>
      </c>
      <c r="E90" s="134">
        <v>0.8603380065709938</v>
      </c>
      <c r="F90" s="91" t="s">
        <v>618</v>
      </c>
      <c r="G90" s="91" t="b">
        <v>0</v>
      </c>
      <c r="H90" s="91" t="b">
        <v>0</v>
      </c>
      <c r="I90" s="91" t="b">
        <v>0</v>
      </c>
      <c r="J90" s="91" t="b">
        <v>0</v>
      </c>
      <c r="K90" s="91" t="b">
        <v>0</v>
      </c>
      <c r="L90" s="91" t="b">
        <v>0</v>
      </c>
    </row>
    <row r="91" spans="1:12" ht="15">
      <c r="A91" s="91" t="s">
        <v>668</v>
      </c>
      <c r="B91" s="91" t="s">
        <v>719</v>
      </c>
      <c r="C91" s="91">
        <v>2</v>
      </c>
      <c r="D91" s="134">
        <v>0.013264666955734587</v>
      </c>
      <c r="E91" s="134">
        <v>1.4393326938302626</v>
      </c>
      <c r="F91" s="91" t="s">
        <v>620</v>
      </c>
      <c r="G91" s="91" t="b">
        <v>0</v>
      </c>
      <c r="H91" s="91" t="b">
        <v>0</v>
      </c>
      <c r="I91" s="91" t="b">
        <v>0</v>
      </c>
      <c r="J91" s="91" t="b">
        <v>0</v>
      </c>
      <c r="K91" s="91" t="b">
        <v>0</v>
      </c>
      <c r="L91" s="91" t="b">
        <v>0</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57421875" style="0" bestFit="1" customWidth="1"/>
    <col min="2" max="2" width="24.7109375" style="0" bestFit="1" customWidth="1"/>
  </cols>
  <sheetData>
    <row r="1" spans="1:2" ht="15" customHeight="1">
      <c r="A1" s="13" t="s">
        <v>900</v>
      </c>
      <c r="B1" s="13" t="s">
        <v>34</v>
      </c>
    </row>
    <row r="2" spans="1:2" ht="15">
      <c r="A2" s="125" t="s">
        <v>223</v>
      </c>
      <c r="B2" s="85">
        <v>21</v>
      </c>
    </row>
    <row r="3" spans="1:2" ht="15">
      <c r="A3" s="125" t="s">
        <v>234</v>
      </c>
      <c r="B3" s="85">
        <v>21</v>
      </c>
    </row>
    <row r="4" spans="1:2" ht="15">
      <c r="A4" s="125" t="s">
        <v>225</v>
      </c>
      <c r="B4" s="85">
        <v>8</v>
      </c>
    </row>
    <row r="5" spans="1:2" ht="15">
      <c r="A5" s="125" t="s">
        <v>215</v>
      </c>
      <c r="B5" s="85">
        <v>3</v>
      </c>
    </row>
    <row r="6" spans="1:2" ht="15">
      <c r="A6" s="125" t="s">
        <v>233</v>
      </c>
      <c r="B6" s="85">
        <v>3</v>
      </c>
    </row>
    <row r="7" spans="1:2" ht="15">
      <c r="A7" s="125" t="s">
        <v>227</v>
      </c>
      <c r="B7" s="85">
        <v>2</v>
      </c>
    </row>
    <row r="8" spans="1:2" ht="15">
      <c r="A8" s="125" t="s">
        <v>235</v>
      </c>
      <c r="B8" s="85">
        <v>0</v>
      </c>
    </row>
    <row r="9" spans="1:2" ht="15">
      <c r="A9" s="125" t="s">
        <v>224</v>
      </c>
      <c r="B9" s="85">
        <v>0</v>
      </c>
    </row>
    <row r="10" spans="1:2" ht="15">
      <c r="A10" s="125" t="s">
        <v>226</v>
      </c>
      <c r="B10" s="85">
        <v>0</v>
      </c>
    </row>
    <row r="11" spans="1:2" ht="15">
      <c r="A11" s="125" t="s">
        <v>236</v>
      </c>
      <c r="B11" s="85">
        <v>0</v>
      </c>
    </row>
  </sheetData>
  <printOptions/>
  <pageMargins left="0.7" right="0.7" top="0.75" bottom="0.75" header="0.3" footer="0.3"/>
  <pageSetup orientation="portrait" paperSize="9"/>
  <tableParts>
    <tablePart r:id="rId1"/>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29"/>
  <sheetViews>
    <sheetView tabSelected="1" workbookViewId="0" topLeftCell="A1">
      <pane xSplit="1" ySplit="2" topLeftCell="B3" activePane="bottomRight" state="frozen"/>
      <selection pane="topRight" activeCell="B1" sqref="B1"/>
      <selection pane="bottomLeft" activeCell="A3" sqref="A3"/>
      <selection pane="bottomRight" activeCell="B1" sqref="B1"/>
    </sheetView>
  </sheetViews>
  <sheetFormatPr defaultColWidth="9.140625" defaultRowHeight="15"/>
  <cols>
    <col min="1" max="1" width="9.140625" style="1" customWidth="1"/>
    <col min="2" max="2" width="11.7109375" style="0" customWidth="1"/>
    <col min="3" max="3" width="7.8515625" style="0" hidden="1" customWidth="1"/>
    <col min="4" max="4" width="8.57421875" style="0" hidden="1" customWidth="1"/>
    <col min="5" max="5" width="6.7109375" style="0" hidden="1" customWidth="1"/>
    <col min="6" max="6" width="9.8515625" style="0" hidden="1" customWidth="1"/>
    <col min="7" max="7" width="7.7109375" style="0" hidden="1" customWidth="1"/>
    <col min="8" max="8" width="11.00390625" style="0" hidden="1" customWidth="1"/>
    <col min="9" max="9" width="8.57421875" style="0" hidden="1" customWidth="1"/>
    <col min="10" max="10" width="9.7109375" style="3" hidden="1" customWidth="1"/>
    <col min="11" max="11" width="10.57421875" style="0" hidden="1" customWidth="1"/>
    <col min="12" max="13" width="9.140625" style="0" hidden="1" customWidth="1"/>
    <col min="14" max="15" width="4.28125" style="0" hidden="1" customWidth="1"/>
    <col min="16" max="16" width="10.28125" style="0" hidden="1" customWidth="1"/>
    <col min="17" max="17" width="6.421875" style="0" hidden="1" customWidth="1"/>
    <col min="18" max="18" width="8.28125" style="0" hidden="1" customWidth="1"/>
    <col min="19" max="19" width="9.57421875" style="0" customWidth="1"/>
    <col min="20" max="20" width="9.28125" style="0" customWidth="1"/>
    <col min="21" max="21" width="9.57421875" style="0" customWidth="1"/>
    <col min="22" max="24" width="14.28125" style="0" customWidth="1"/>
    <col min="25" max="25" width="11.8515625" style="0" customWidth="1"/>
    <col min="26" max="26" width="14.421875" style="0" customWidth="1"/>
    <col min="27" max="27" width="18.28125" style="3" customWidth="1"/>
    <col min="28" max="28" width="5.00390625" style="3" hidden="1" customWidth="1"/>
    <col min="29" max="29" width="16.00390625" style="6" hidden="1" customWidth="1"/>
    <col min="30" max="30" width="16.00390625" style="2" customWidth="1"/>
    <col min="31" max="31" width="8.421875" style="3" customWidth="1"/>
    <col min="32" max="32" width="11.421875" style="3" customWidth="1"/>
    <col min="33" max="33" width="11.8515625" style="3" customWidth="1"/>
    <col min="34" max="34" width="9.57421875" style="3" customWidth="1"/>
    <col min="35" max="35" width="11.28125" style="0" customWidth="1"/>
    <col min="36" max="36" width="18.00390625" style="0" customWidth="1"/>
    <col min="37" max="37" width="13.28125" style="0" customWidth="1"/>
    <col min="38" max="38" width="10.57421875" style="0" customWidth="1"/>
    <col min="39" max="39" width="7.28125" style="0" customWidth="1"/>
    <col min="40" max="40" width="7.57421875" style="0" customWidth="1"/>
    <col min="41" max="41" width="16.00390625" style="0" customWidth="1"/>
    <col min="42" max="42" width="12.421875" style="0" customWidth="1"/>
    <col min="43" max="43" width="9.7109375" style="0" customWidth="1"/>
    <col min="44" max="44" width="16.28125" style="0" customWidth="1"/>
    <col min="45" max="45" width="10.28125" style="0" customWidth="1"/>
    <col min="46" max="46" width="11.421875" style="0" customWidth="1"/>
    <col min="47" max="47" width="8.421875" style="0" customWidth="1"/>
    <col min="48" max="48" width="20.140625" style="0" customWidth="1"/>
    <col min="49" max="49" width="10.421875" style="0" customWidth="1"/>
    <col min="50" max="51" width="15.57421875" style="0" customWidth="1"/>
    <col min="52" max="52" width="15.00390625" style="0" customWidth="1"/>
    <col min="53" max="53" width="9.140625" style="0" customWidth="1"/>
    <col min="54" max="54" width="17.140625" style="0" customWidth="1"/>
    <col min="55" max="55" width="19.421875" style="0" customWidth="1"/>
    <col min="56" max="56" width="17.140625" style="0" customWidth="1"/>
    <col min="57" max="57" width="19.421875" style="0" customWidth="1"/>
    <col min="58" max="58" width="17.140625" style="0" customWidth="1"/>
    <col min="59" max="59" width="19.421875" style="0" customWidth="1"/>
    <col min="60" max="60" width="17.140625" style="0" customWidth="1"/>
    <col min="61" max="61" width="19.421875" style="0" customWidth="1"/>
    <col min="62" max="62" width="18.7109375" style="0" customWidth="1"/>
    <col min="63" max="63" width="19.421875" style="0" customWidth="1"/>
    <col min="64" max="64" width="21.57421875" style="0" customWidth="1"/>
    <col min="65" max="65" width="26.8515625" style="0" customWidth="1"/>
    <col min="66" max="66" width="22.421875" style="0" customWidth="1"/>
    <col min="67" max="67" width="27.8515625" style="0" customWidth="1"/>
    <col min="68" max="68" width="27.140625" style="0" customWidth="1"/>
    <col min="69" max="69" width="32.57421875" style="0" customWidth="1"/>
    <col min="70" max="70" width="18.00390625" style="0" customWidth="1"/>
    <col min="71" max="71" width="22.140625" style="0" customWidth="1"/>
    <col min="72" max="72" width="16.8515625" style="0" customWidth="1"/>
  </cols>
  <sheetData>
    <row r="1" spans="2:34" ht="15">
      <c r="B1" s="1"/>
      <c r="C1" s="25" t="s">
        <v>39</v>
      </c>
      <c r="D1" s="18"/>
      <c r="E1" s="18"/>
      <c r="F1" s="18"/>
      <c r="G1" s="18"/>
      <c r="H1" s="18"/>
      <c r="I1" s="27" t="s">
        <v>43</v>
      </c>
      <c r="J1" s="26"/>
      <c r="K1" s="26"/>
      <c r="L1" s="26"/>
      <c r="M1" s="29" t="s">
        <v>44</v>
      </c>
      <c r="N1" s="28"/>
      <c r="O1" s="28"/>
      <c r="P1" s="28"/>
      <c r="Q1" s="28"/>
      <c r="R1" s="28"/>
      <c r="S1" s="24" t="s">
        <v>42</v>
      </c>
      <c r="T1" s="21"/>
      <c r="U1" s="22"/>
      <c r="V1" s="23"/>
      <c r="W1" s="21"/>
      <c r="X1" s="21"/>
      <c r="Y1" s="21"/>
      <c r="Z1" s="21"/>
      <c r="AA1" s="21"/>
      <c r="AB1" s="30" t="s">
        <v>40</v>
      </c>
      <c r="AC1" s="20"/>
      <c r="AD1" s="31" t="s">
        <v>41</v>
      </c>
      <c r="AE1"/>
      <c r="AF1"/>
      <c r="AG1"/>
      <c r="AH1"/>
    </row>
    <row r="2" spans="1:74" ht="30" customHeight="1">
      <c r="A2" s="11" t="s">
        <v>5</v>
      </c>
      <c r="B2" t="s">
        <v>911</v>
      </c>
      <c r="C2" s="8" t="s">
        <v>2</v>
      </c>
      <c r="D2" s="8" t="s">
        <v>8</v>
      </c>
      <c r="E2" s="9" t="s">
        <v>45</v>
      </c>
      <c r="F2" s="10" t="s">
        <v>4</v>
      </c>
      <c r="G2" s="8" t="s">
        <v>48</v>
      </c>
      <c r="H2" s="8" t="s">
        <v>11</v>
      </c>
      <c r="I2" s="8" t="s">
        <v>46</v>
      </c>
      <c r="J2" s="8" t="s">
        <v>47</v>
      </c>
      <c r="K2" s="8" t="s">
        <v>77</v>
      </c>
      <c r="L2" s="8" t="s">
        <v>10</v>
      </c>
      <c r="M2" s="8" t="s">
        <v>27</v>
      </c>
      <c r="N2" s="8" t="s">
        <v>15</v>
      </c>
      <c r="O2" s="8" t="s">
        <v>16</v>
      </c>
      <c r="P2" s="8" t="s">
        <v>13</v>
      </c>
      <c r="Q2" s="8" t="s">
        <v>28</v>
      </c>
      <c r="R2" s="8" t="s">
        <v>29</v>
      </c>
      <c r="S2" s="13" t="s">
        <v>31</v>
      </c>
      <c r="T2" s="13" t="s">
        <v>32</v>
      </c>
      <c r="U2" s="13" t="s">
        <v>33</v>
      </c>
      <c r="V2" s="13" t="s">
        <v>34</v>
      </c>
      <c r="W2" s="13" t="s">
        <v>35</v>
      </c>
      <c r="X2" s="13" t="s">
        <v>36</v>
      </c>
      <c r="Y2" s="13" t="s">
        <v>137</v>
      </c>
      <c r="Z2" s="13" t="s">
        <v>37</v>
      </c>
      <c r="AA2" s="13" t="s">
        <v>170</v>
      </c>
      <c r="AB2" s="11" t="s">
        <v>12</v>
      </c>
      <c r="AC2" s="11" t="s">
        <v>38</v>
      </c>
      <c r="AD2" s="8" t="s">
        <v>26</v>
      </c>
      <c r="AE2" s="13" t="s">
        <v>361</v>
      </c>
      <c r="AF2" s="13" t="s">
        <v>362</v>
      </c>
      <c r="AG2" s="13" t="s">
        <v>363</v>
      </c>
      <c r="AH2" s="13" t="s">
        <v>364</v>
      </c>
      <c r="AI2" s="13" t="s">
        <v>365</v>
      </c>
      <c r="AJ2" s="13" t="s">
        <v>366</v>
      </c>
      <c r="AK2" s="13" t="s">
        <v>367</v>
      </c>
      <c r="AL2" s="13" t="s">
        <v>368</v>
      </c>
      <c r="AM2" s="13" t="s">
        <v>369</v>
      </c>
      <c r="AN2" s="13" t="s">
        <v>370</v>
      </c>
      <c r="AO2" s="13" t="s">
        <v>371</v>
      </c>
      <c r="AP2" s="13" t="s">
        <v>372</v>
      </c>
      <c r="AQ2" s="13" t="s">
        <v>373</v>
      </c>
      <c r="AR2" s="13" t="s">
        <v>374</v>
      </c>
      <c r="AS2" s="13" t="s">
        <v>375</v>
      </c>
      <c r="AT2" s="13" t="s">
        <v>192</v>
      </c>
      <c r="AU2" s="13" t="s">
        <v>376</v>
      </c>
      <c r="AV2" s="13" t="s">
        <v>377</v>
      </c>
      <c r="AW2" s="13" t="s">
        <v>378</v>
      </c>
      <c r="AX2" s="13" t="s">
        <v>379</v>
      </c>
      <c r="AY2" s="13" t="s">
        <v>380</v>
      </c>
      <c r="AZ2" s="13" t="s">
        <v>381</v>
      </c>
      <c r="BA2" s="13" t="s">
        <v>627</v>
      </c>
      <c r="BB2" s="131" t="s">
        <v>817</v>
      </c>
      <c r="BC2" s="131" t="s">
        <v>819</v>
      </c>
      <c r="BD2" s="131" t="s">
        <v>820</v>
      </c>
      <c r="BE2" s="131" t="s">
        <v>822</v>
      </c>
      <c r="BF2" s="131" t="s">
        <v>823</v>
      </c>
      <c r="BG2" s="131" t="s">
        <v>824</v>
      </c>
      <c r="BH2" s="131" t="s">
        <v>826</v>
      </c>
      <c r="BI2" s="131" t="s">
        <v>839</v>
      </c>
      <c r="BJ2" s="131" t="s">
        <v>844</v>
      </c>
      <c r="BK2" s="131" t="s">
        <v>857</v>
      </c>
      <c r="BL2" s="131" t="s">
        <v>888</v>
      </c>
      <c r="BM2" s="131" t="s">
        <v>889</v>
      </c>
      <c r="BN2" s="131" t="s">
        <v>890</v>
      </c>
      <c r="BO2" s="131" t="s">
        <v>891</v>
      </c>
      <c r="BP2" s="131" t="s">
        <v>892</v>
      </c>
      <c r="BQ2" s="131" t="s">
        <v>893</v>
      </c>
      <c r="BR2" s="131" t="s">
        <v>894</v>
      </c>
      <c r="BS2" s="131" t="s">
        <v>895</v>
      </c>
      <c r="BT2" s="131" t="s">
        <v>897</v>
      </c>
      <c r="BU2" s="3"/>
      <c r="BV2" s="3"/>
    </row>
    <row r="3" spans="1:74" ht="41.45" customHeight="1">
      <c r="A3" s="50" t="s">
        <v>212</v>
      </c>
      <c r="C3" s="53"/>
      <c r="D3" s="53" t="s">
        <v>64</v>
      </c>
      <c r="E3" s="54">
        <v>200.65180871787354</v>
      </c>
      <c r="F3" s="55">
        <v>99.99848661828992</v>
      </c>
      <c r="G3" s="112" t="s">
        <v>280</v>
      </c>
      <c r="H3" s="53"/>
      <c r="I3" s="57" t="s">
        <v>212</v>
      </c>
      <c r="J3" s="56"/>
      <c r="K3" s="56"/>
      <c r="L3" s="114" t="s">
        <v>549</v>
      </c>
      <c r="M3" s="59">
        <v>1.5043596779122352</v>
      </c>
      <c r="N3" s="60">
        <v>4122.1279296875</v>
      </c>
      <c r="O3" s="60">
        <v>444.0732421875</v>
      </c>
      <c r="P3" s="58"/>
      <c r="Q3" s="61"/>
      <c r="R3" s="61"/>
      <c r="S3" s="51"/>
      <c r="T3" s="51">
        <v>0</v>
      </c>
      <c r="U3" s="51">
        <v>2</v>
      </c>
      <c r="V3" s="52">
        <v>0</v>
      </c>
      <c r="W3" s="52">
        <v>0.166667</v>
      </c>
      <c r="X3" s="52">
        <v>0</v>
      </c>
      <c r="Y3" s="52">
        <v>0.850862</v>
      </c>
      <c r="Z3" s="52">
        <v>0.5</v>
      </c>
      <c r="AA3" s="52">
        <v>0</v>
      </c>
      <c r="AB3" s="62">
        <v>3</v>
      </c>
      <c r="AC3" s="62"/>
      <c r="AD3" s="63"/>
      <c r="AE3" s="85" t="s">
        <v>382</v>
      </c>
      <c r="AF3" s="85">
        <v>855</v>
      </c>
      <c r="AG3" s="85">
        <v>2240</v>
      </c>
      <c r="AH3" s="85">
        <v>3091</v>
      </c>
      <c r="AI3" s="85">
        <v>4179</v>
      </c>
      <c r="AJ3" s="85"/>
      <c r="AK3" s="85" t="s">
        <v>409</v>
      </c>
      <c r="AL3" s="85" t="s">
        <v>436</v>
      </c>
      <c r="AM3" s="90" t="s">
        <v>458</v>
      </c>
      <c r="AN3" s="85"/>
      <c r="AO3" s="87">
        <v>41651.455046296294</v>
      </c>
      <c r="AP3" s="85"/>
      <c r="AQ3" s="85" t="b">
        <v>1</v>
      </c>
      <c r="AR3" s="85" t="b">
        <v>0</v>
      </c>
      <c r="AS3" s="85" t="b">
        <v>0</v>
      </c>
      <c r="AT3" s="85" t="s">
        <v>352</v>
      </c>
      <c r="AU3" s="85">
        <v>49</v>
      </c>
      <c r="AV3" s="90" t="s">
        <v>503</v>
      </c>
      <c r="AW3" s="85" t="b">
        <v>0</v>
      </c>
      <c r="AX3" s="85" t="s">
        <v>521</v>
      </c>
      <c r="AY3" s="90" t="s">
        <v>522</v>
      </c>
      <c r="AZ3" s="85" t="s">
        <v>66</v>
      </c>
      <c r="BA3" s="85" t="str">
        <f>REPLACE(INDEX(GroupVertices[Group],MATCH(Vertices[[#This Row],[Vertex]],GroupVertices[Vertex],0)),1,1,"")</f>
        <v>2</v>
      </c>
      <c r="BB3" s="51"/>
      <c r="BC3" s="51"/>
      <c r="BD3" s="51"/>
      <c r="BE3" s="51"/>
      <c r="BF3" s="51" t="s">
        <v>269</v>
      </c>
      <c r="BG3" s="51" t="s">
        <v>269</v>
      </c>
      <c r="BH3" s="132" t="s">
        <v>827</v>
      </c>
      <c r="BI3" s="132" t="s">
        <v>827</v>
      </c>
      <c r="BJ3" s="132" t="s">
        <v>845</v>
      </c>
      <c r="BK3" s="132" t="s">
        <v>845</v>
      </c>
      <c r="BL3" s="132">
        <v>0</v>
      </c>
      <c r="BM3" s="135">
        <v>0</v>
      </c>
      <c r="BN3" s="132">
        <v>0</v>
      </c>
      <c r="BO3" s="135">
        <v>0</v>
      </c>
      <c r="BP3" s="132">
        <v>0</v>
      </c>
      <c r="BQ3" s="135">
        <v>0</v>
      </c>
      <c r="BR3" s="132">
        <v>24</v>
      </c>
      <c r="BS3" s="135">
        <v>100</v>
      </c>
      <c r="BT3" s="132">
        <v>24</v>
      </c>
      <c r="BU3" s="3"/>
      <c r="BV3" s="3"/>
    </row>
    <row r="4" spans="1:77" ht="41.45" customHeight="1">
      <c r="A4" s="14" t="s">
        <v>232</v>
      </c>
      <c r="C4" s="15"/>
      <c r="D4" s="15" t="s">
        <v>64</v>
      </c>
      <c r="E4" s="93">
        <v>176.44615739092185</v>
      </c>
      <c r="F4" s="81">
        <v>99.99943437186766</v>
      </c>
      <c r="G4" s="112" t="s">
        <v>510</v>
      </c>
      <c r="H4" s="15"/>
      <c r="I4" s="16" t="s">
        <v>232</v>
      </c>
      <c r="J4" s="66"/>
      <c r="K4" s="66"/>
      <c r="L4" s="114" t="s">
        <v>550</v>
      </c>
      <c r="M4" s="94">
        <v>1.188505002235136</v>
      </c>
      <c r="N4" s="95">
        <v>3462.94140625</v>
      </c>
      <c r="O4" s="95">
        <v>2731.0966796875</v>
      </c>
      <c r="P4" s="77"/>
      <c r="Q4" s="96"/>
      <c r="R4" s="96"/>
      <c r="S4" s="97"/>
      <c r="T4" s="51">
        <v>2</v>
      </c>
      <c r="U4" s="51">
        <v>0</v>
      </c>
      <c r="V4" s="52">
        <v>0</v>
      </c>
      <c r="W4" s="52">
        <v>0.166667</v>
      </c>
      <c r="X4" s="52">
        <v>0</v>
      </c>
      <c r="Y4" s="52">
        <v>0.850862</v>
      </c>
      <c r="Z4" s="52">
        <v>0.5</v>
      </c>
      <c r="AA4" s="52">
        <v>0</v>
      </c>
      <c r="AB4" s="82">
        <v>4</v>
      </c>
      <c r="AC4" s="82"/>
      <c r="AD4" s="98"/>
      <c r="AE4" s="85" t="s">
        <v>383</v>
      </c>
      <c r="AF4" s="85">
        <v>1020</v>
      </c>
      <c r="AG4" s="85">
        <v>861</v>
      </c>
      <c r="AH4" s="85">
        <v>277</v>
      </c>
      <c r="AI4" s="85">
        <v>1322</v>
      </c>
      <c r="AJ4" s="85"/>
      <c r="AK4" s="85" t="s">
        <v>410</v>
      </c>
      <c r="AL4" s="85" t="s">
        <v>437</v>
      </c>
      <c r="AM4" s="90" t="s">
        <v>459</v>
      </c>
      <c r="AN4" s="85"/>
      <c r="AO4" s="87">
        <v>42984.55849537037</v>
      </c>
      <c r="AP4" s="90" t="s">
        <v>481</v>
      </c>
      <c r="AQ4" s="85" t="b">
        <v>1</v>
      </c>
      <c r="AR4" s="85" t="b">
        <v>0</v>
      </c>
      <c r="AS4" s="85" t="b">
        <v>0</v>
      </c>
      <c r="AT4" s="85"/>
      <c r="AU4" s="85">
        <v>25</v>
      </c>
      <c r="AV4" s="85"/>
      <c r="AW4" s="85" t="b">
        <v>0</v>
      </c>
      <c r="AX4" s="85" t="s">
        <v>521</v>
      </c>
      <c r="AY4" s="90" t="s">
        <v>523</v>
      </c>
      <c r="AZ4" s="85" t="s">
        <v>65</v>
      </c>
      <c r="BA4" s="85" t="str">
        <f>REPLACE(INDEX(GroupVertices[Group],MATCH(Vertices[[#This Row],[Vertex]],GroupVertices[Vertex],0)),1,1,"")</f>
        <v>2</v>
      </c>
      <c r="BB4" s="51"/>
      <c r="BC4" s="51"/>
      <c r="BD4" s="51"/>
      <c r="BE4" s="51"/>
      <c r="BF4" s="51"/>
      <c r="BG4" s="51"/>
      <c r="BH4" s="51"/>
      <c r="BI4" s="51"/>
      <c r="BJ4" s="51"/>
      <c r="BK4" s="51"/>
      <c r="BL4" s="51"/>
      <c r="BM4" s="52"/>
      <c r="BN4" s="51"/>
      <c r="BO4" s="52"/>
      <c r="BP4" s="51"/>
      <c r="BQ4" s="52"/>
      <c r="BR4" s="51"/>
      <c r="BS4" s="52"/>
      <c r="BT4" s="51"/>
      <c r="BU4" s="2"/>
      <c r="BV4" s="3"/>
      <c r="BW4" s="3"/>
      <c r="BX4" s="3"/>
      <c r="BY4" s="3"/>
    </row>
    <row r="5" spans="1:77" ht="41.45" customHeight="1">
      <c r="A5" s="14" t="s">
        <v>225</v>
      </c>
      <c r="C5" s="15"/>
      <c r="D5" s="15" t="s">
        <v>64</v>
      </c>
      <c r="E5" s="93">
        <v>253.18807733394777</v>
      </c>
      <c r="F5" s="81">
        <v>99.9964296012789</v>
      </c>
      <c r="G5" s="112" t="s">
        <v>292</v>
      </c>
      <c r="H5" s="15"/>
      <c r="I5" s="16" t="s">
        <v>225</v>
      </c>
      <c r="J5" s="66"/>
      <c r="K5" s="66"/>
      <c r="L5" s="114" t="s">
        <v>551</v>
      </c>
      <c r="M5" s="94">
        <v>2.189894880451436</v>
      </c>
      <c r="N5" s="95">
        <v>5181.3466796875</v>
      </c>
      <c r="O5" s="95">
        <v>2587.473876953125</v>
      </c>
      <c r="P5" s="77"/>
      <c r="Q5" s="96"/>
      <c r="R5" s="96"/>
      <c r="S5" s="97"/>
      <c r="T5" s="51">
        <v>2</v>
      </c>
      <c r="U5" s="51">
        <v>3</v>
      </c>
      <c r="V5" s="52">
        <v>8</v>
      </c>
      <c r="W5" s="52">
        <v>0.25</v>
      </c>
      <c r="X5" s="52">
        <v>0</v>
      </c>
      <c r="Y5" s="52">
        <v>1.596461</v>
      </c>
      <c r="Z5" s="52">
        <v>0.16666666666666666</v>
      </c>
      <c r="AA5" s="52">
        <v>0.25</v>
      </c>
      <c r="AB5" s="82">
        <v>5</v>
      </c>
      <c r="AC5" s="82"/>
      <c r="AD5" s="98"/>
      <c r="AE5" s="85" t="s">
        <v>384</v>
      </c>
      <c r="AF5" s="85">
        <v>789</v>
      </c>
      <c r="AG5" s="85">
        <v>5233</v>
      </c>
      <c r="AH5" s="85">
        <v>20672</v>
      </c>
      <c r="AI5" s="85">
        <v>19161</v>
      </c>
      <c r="AJ5" s="85"/>
      <c r="AK5" s="85" t="s">
        <v>411</v>
      </c>
      <c r="AL5" s="85" t="s">
        <v>438</v>
      </c>
      <c r="AM5" s="90" t="s">
        <v>460</v>
      </c>
      <c r="AN5" s="85"/>
      <c r="AO5" s="87">
        <v>39222.007002314815</v>
      </c>
      <c r="AP5" s="90" t="s">
        <v>482</v>
      </c>
      <c r="AQ5" s="85" t="b">
        <v>0</v>
      </c>
      <c r="AR5" s="85" t="b">
        <v>0</v>
      </c>
      <c r="AS5" s="85" t="b">
        <v>1</v>
      </c>
      <c r="AT5" s="85" t="s">
        <v>352</v>
      </c>
      <c r="AU5" s="85">
        <v>401</v>
      </c>
      <c r="AV5" s="90" t="s">
        <v>504</v>
      </c>
      <c r="AW5" s="85" t="b">
        <v>0</v>
      </c>
      <c r="AX5" s="85" t="s">
        <v>521</v>
      </c>
      <c r="AY5" s="90" t="s">
        <v>524</v>
      </c>
      <c r="AZ5" s="85" t="s">
        <v>66</v>
      </c>
      <c r="BA5" s="85" t="str">
        <f>REPLACE(INDEX(GroupVertices[Group],MATCH(Vertices[[#This Row],[Vertex]],GroupVertices[Vertex],0)),1,1,"")</f>
        <v>2</v>
      </c>
      <c r="BB5" s="51" t="s">
        <v>259</v>
      </c>
      <c r="BC5" s="51" t="s">
        <v>259</v>
      </c>
      <c r="BD5" s="51" t="s">
        <v>264</v>
      </c>
      <c r="BE5" s="51" t="s">
        <v>264</v>
      </c>
      <c r="BF5" s="51" t="s">
        <v>270</v>
      </c>
      <c r="BG5" s="51" t="s">
        <v>270</v>
      </c>
      <c r="BH5" s="132" t="s">
        <v>828</v>
      </c>
      <c r="BI5" s="132" t="s">
        <v>840</v>
      </c>
      <c r="BJ5" s="132" t="s">
        <v>846</v>
      </c>
      <c r="BK5" s="132" t="s">
        <v>846</v>
      </c>
      <c r="BL5" s="132">
        <v>0</v>
      </c>
      <c r="BM5" s="135">
        <v>0</v>
      </c>
      <c r="BN5" s="132">
        <v>1</v>
      </c>
      <c r="BO5" s="135">
        <v>1.9607843137254901</v>
      </c>
      <c r="BP5" s="132">
        <v>0</v>
      </c>
      <c r="BQ5" s="135">
        <v>0</v>
      </c>
      <c r="BR5" s="132">
        <v>50</v>
      </c>
      <c r="BS5" s="135">
        <v>98.03921568627452</v>
      </c>
      <c r="BT5" s="132">
        <v>51</v>
      </c>
      <c r="BU5" s="2"/>
      <c r="BV5" s="3"/>
      <c r="BW5" s="3"/>
      <c r="BX5" s="3"/>
      <c r="BY5" s="3"/>
    </row>
    <row r="6" spans="1:77" ht="41.45" customHeight="1">
      <c r="A6" s="14" t="s">
        <v>213</v>
      </c>
      <c r="C6" s="15"/>
      <c r="D6" s="15" t="s">
        <v>64</v>
      </c>
      <c r="E6" s="93">
        <v>180.1674032801994</v>
      </c>
      <c r="F6" s="81">
        <v>99.9992886693597</v>
      </c>
      <c r="G6" s="112" t="s">
        <v>281</v>
      </c>
      <c r="H6" s="15"/>
      <c r="I6" s="16" t="s">
        <v>213</v>
      </c>
      <c r="J6" s="66"/>
      <c r="K6" s="66"/>
      <c r="L6" s="114" t="s">
        <v>552</v>
      </c>
      <c r="M6" s="94">
        <v>1.2370627913892658</v>
      </c>
      <c r="N6" s="95">
        <v>5663.228515625</v>
      </c>
      <c r="O6" s="95">
        <v>5175.953125</v>
      </c>
      <c r="P6" s="77"/>
      <c r="Q6" s="96"/>
      <c r="R6" s="96"/>
      <c r="S6" s="97"/>
      <c r="T6" s="51">
        <v>0</v>
      </c>
      <c r="U6" s="51">
        <v>2</v>
      </c>
      <c r="V6" s="52">
        <v>0</v>
      </c>
      <c r="W6" s="52">
        <v>0.166667</v>
      </c>
      <c r="X6" s="52">
        <v>0</v>
      </c>
      <c r="Y6" s="52">
        <v>0.740445</v>
      </c>
      <c r="Z6" s="52">
        <v>0.5</v>
      </c>
      <c r="AA6" s="52">
        <v>0</v>
      </c>
      <c r="AB6" s="82">
        <v>6</v>
      </c>
      <c r="AC6" s="82"/>
      <c r="AD6" s="98"/>
      <c r="AE6" s="85" t="s">
        <v>385</v>
      </c>
      <c r="AF6" s="85">
        <v>217</v>
      </c>
      <c r="AG6" s="85">
        <v>1073</v>
      </c>
      <c r="AH6" s="85">
        <v>3657</v>
      </c>
      <c r="AI6" s="85">
        <v>3033</v>
      </c>
      <c r="AJ6" s="85"/>
      <c r="AK6" s="85" t="s">
        <v>412</v>
      </c>
      <c r="AL6" s="85" t="s">
        <v>439</v>
      </c>
      <c r="AM6" s="85"/>
      <c r="AN6" s="85"/>
      <c r="AO6" s="87">
        <v>39458.87501157408</v>
      </c>
      <c r="AP6" s="85"/>
      <c r="AQ6" s="85" t="b">
        <v>1</v>
      </c>
      <c r="AR6" s="85" t="b">
        <v>0</v>
      </c>
      <c r="AS6" s="85" t="b">
        <v>0</v>
      </c>
      <c r="AT6" s="85" t="s">
        <v>352</v>
      </c>
      <c r="AU6" s="85">
        <v>38</v>
      </c>
      <c r="AV6" s="90" t="s">
        <v>503</v>
      </c>
      <c r="AW6" s="85" t="b">
        <v>0</v>
      </c>
      <c r="AX6" s="85" t="s">
        <v>521</v>
      </c>
      <c r="AY6" s="90" t="s">
        <v>525</v>
      </c>
      <c r="AZ6" s="85" t="s">
        <v>66</v>
      </c>
      <c r="BA6" s="85" t="str">
        <f>REPLACE(INDEX(GroupVertices[Group],MATCH(Vertices[[#This Row],[Vertex]],GroupVertices[Vertex],0)),1,1,"")</f>
        <v>3</v>
      </c>
      <c r="BB6" s="51"/>
      <c r="BC6" s="51"/>
      <c r="BD6" s="51"/>
      <c r="BE6" s="51"/>
      <c r="BF6" s="51"/>
      <c r="BG6" s="51"/>
      <c r="BH6" s="132" t="s">
        <v>829</v>
      </c>
      <c r="BI6" s="132" t="s">
        <v>829</v>
      </c>
      <c r="BJ6" s="132" t="s">
        <v>847</v>
      </c>
      <c r="BK6" s="132" t="s">
        <v>847</v>
      </c>
      <c r="BL6" s="132">
        <v>0</v>
      </c>
      <c r="BM6" s="135">
        <v>0</v>
      </c>
      <c r="BN6" s="132">
        <v>0</v>
      </c>
      <c r="BO6" s="135">
        <v>0</v>
      </c>
      <c r="BP6" s="132">
        <v>0</v>
      </c>
      <c r="BQ6" s="135">
        <v>0</v>
      </c>
      <c r="BR6" s="132">
        <v>19</v>
      </c>
      <c r="BS6" s="135">
        <v>100</v>
      </c>
      <c r="BT6" s="132">
        <v>19</v>
      </c>
      <c r="BU6" s="2"/>
      <c r="BV6" s="3"/>
      <c r="BW6" s="3"/>
      <c r="BX6" s="3"/>
      <c r="BY6" s="3"/>
    </row>
    <row r="7" spans="1:77" ht="41.45" customHeight="1">
      <c r="A7" s="14" t="s">
        <v>233</v>
      </c>
      <c r="C7" s="15"/>
      <c r="D7" s="15" t="s">
        <v>64</v>
      </c>
      <c r="E7" s="93">
        <v>162.26329569971304</v>
      </c>
      <c r="F7" s="81">
        <v>99.99998969086029</v>
      </c>
      <c r="G7" s="112" t="s">
        <v>511</v>
      </c>
      <c r="H7" s="15"/>
      <c r="I7" s="16" t="s">
        <v>233</v>
      </c>
      <c r="J7" s="66"/>
      <c r="K7" s="66"/>
      <c r="L7" s="114" t="s">
        <v>553</v>
      </c>
      <c r="M7" s="94">
        <v>1.00343569262883</v>
      </c>
      <c r="N7" s="95">
        <v>3462.94140625</v>
      </c>
      <c r="O7" s="95">
        <v>7538.62548828125</v>
      </c>
      <c r="P7" s="77"/>
      <c r="Q7" s="96"/>
      <c r="R7" s="96"/>
      <c r="S7" s="97"/>
      <c r="T7" s="51">
        <v>4</v>
      </c>
      <c r="U7" s="51">
        <v>0</v>
      </c>
      <c r="V7" s="52">
        <v>3</v>
      </c>
      <c r="W7" s="52">
        <v>0.25</v>
      </c>
      <c r="X7" s="52">
        <v>0</v>
      </c>
      <c r="Y7" s="52">
        <v>1.389287</v>
      </c>
      <c r="Z7" s="52">
        <v>0.25</v>
      </c>
      <c r="AA7" s="52">
        <v>0</v>
      </c>
      <c r="AB7" s="82">
        <v>7</v>
      </c>
      <c r="AC7" s="82"/>
      <c r="AD7" s="98"/>
      <c r="AE7" s="85" t="s">
        <v>386</v>
      </c>
      <c r="AF7" s="85">
        <v>82</v>
      </c>
      <c r="AG7" s="85">
        <v>53</v>
      </c>
      <c r="AH7" s="85">
        <v>19</v>
      </c>
      <c r="AI7" s="85">
        <v>33</v>
      </c>
      <c r="AJ7" s="85"/>
      <c r="AK7" s="85" t="s">
        <v>413</v>
      </c>
      <c r="AL7" s="85" t="s">
        <v>440</v>
      </c>
      <c r="AM7" s="90" t="s">
        <v>461</v>
      </c>
      <c r="AN7" s="85"/>
      <c r="AO7" s="87">
        <v>39737.70402777778</v>
      </c>
      <c r="AP7" s="85"/>
      <c r="AQ7" s="85" t="b">
        <v>0</v>
      </c>
      <c r="AR7" s="85" t="b">
        <v>0</v>
      </c>
      <c r="AS7" s="85" t="b">
        <v>0</v>
      </c>
      <c r="AT7" s="85"/>
      <c r="AU7" s="85">
        <v>3</v>
      </c>
      <c r="AV7" s="90" t="s">
        <v>505</v>
      </c>
      <c r="AW7" s="85" t="b">
        <v>0</v>
      </c>
      <c r="AX7" s="85" t="s">
        <v>521</v>
      </c>
      <c r="AY7" s="90" t="s">
        <v>526</v>
      </c>
      <c r="AZ7" s="85" t="s">
        <v>65</v>
      </c>
      <c r="BA7" s="85" t="str">
        <f>REPLACE(INDEX(GroupVertices[Group],MATCH(Vertices[[#This Row],[Vertex]],GroupVertices[Vertex],0)),1,1,"")</f>
        <v>3</v>
      </c>
      <c r="BB7" s="51"/>
      <c r="BC7" s="51"/>
      <c r="BD7" s="51"/>
      <c r="BE7" s="51"/>
      <c r="BF7" s="51"/>
      <c r="BG7" s="51"/>
      <c r="BH7" s="51"/>
      <c r="BI7" s="51"/>
      <c r="BJ7" s="51"/>
      <c r="BK7" s="51"/>
      <c r="BL7" s="51"/>
      <c r="BM7" s="52"/>
      <c r="BN7" s="51"/>
      <c r="BO7" s="52"/>
      <c r="BP7" s="51"/>
      <c r="BQ7" s="52"/>
      <c r="BR7" s="51"/>
      <c r="BS7" s="52"/>
      <c r="BT7" s="51"/>
      <c r="BU7" s="2"/>
      <c r="BV7" s="3"/>
      <c r="BW7" s="3"/>
      <c r="BX7" s="3"/>
      <c r="BY7" s="3"/>
    </row>
    <row r="8" spans="1:77" ht="41.45" customHeight="1">
      <c r="A8" s="14" t="s">
        <v>215</v>
      </c>
      <c r="C8" s="15"/>
      <c r="D8" s="15" t="s">
        <v>64</v>
      </c>
      <c r="E8" s="93">
        <v>203.37253094824155</v>
      </c>
      <c r="F8" s="81">
        <v>99.99838009051287</v>
      </c>
      <c r="G8" s="112" t="s">
        <v>512</v>
      </c>
      <c r="H8" s="15"/>
      <c r="I8" s="16" t="s">
        <v>215</v>
      </c>
      <c r="J8" s="66"/>
      <c r="K8" s="66"/>
      <c r="L8" s="114" t="s">
        <v>554</v>
      </c>
      <c r="M8" s="94">
        <v>1.5398618350768112</v>
      </c>
      <c r="N8" s="95">
        <v>6899.89453125</v>
      </c>
      <c r="O8" s="95">
        <v>7756.73486328125</v>
      </c>
      <c r="P8" s="77"/>
      <c r="Q8" s="96"/>
      <c r="R8" s="96"/>
      <c r="S8" s="97"/>
      <c r="T8" s="51">
        <v>3</v>
      </c>
      <c r="U8" s="51">
        <v>1</v>
      </c>
      <c r="V8" s="52">
        <v>3</v>
      </c>
      <c r="W8" s="52">
        <v>0.25</v>
      </c>
      <c r="X8" s="52">
        <v>0</v>
      </c>
      <c r="Y8" s="52">
        <v>1.389287</v>
      </c>
      <c r="Z8" s="52">
        <v>0.25</v>
      </c>
      <c r="AA8" s="52">
        <v>0</v>
      </c>
      <c r="AB8" s="82">
        <v>8</v>
      </c>
      <c r="AC8" s="82"/>
      <c r="AD8" s="98"/>
      <c r="AE8" s="85" t="s">
        <v>387</v>
      </c>
      <c r="AF8" s="85">
        <v>811</v>
      </c>
      <c r="AG8" s="85">
        <v>2395</v>
      </c>
      <c r="AH8" s="85">
        <v>145</v>
      </c>
      <c r="AI8" s="85">
        <v>1753</v>
      </c>
      <c r="AJ8" s="85"/>
      <c r="AK8" s="85" t="s">
        <v>414</v>
      </c>
      <c r="AL8" s="85" t="s">
        <v>441</v>
      </c>
      <c r="AM8" s="90" t="s">
        <v>462</v>
      </c>
      <c r="AN8" s="85"/>
      <c r="AO8" s="87">
        <v>40277.612905092596</v>
      </c>
      <c r="AP8" s="90" t="s">
        <v>483</v>
      </c>
      <c r="AQ8" s="85" t="b">
        <v>0</v>
      </c>
      <c r="AR8" s="85" t="b">
        <v>0</v>
      </c>
      <c r="AS8" s="85" t="b">
        <v>0</v>
      </c>
      <c r="AT8" s="85" t="s">
        <v>352</v>
      </c>
      <c r="AU8" s="85">
        <v>104</v>
      </c>
      <c r="AV8" s="90" t="s">
        <v>504</v>
      </c>
      <c r="AW8" s="85" t="b">
        <v>0</v>
      </c>
      <c r="AX8" s="85" t="s">
        <v>521</v>
      </c>
      <c r="AY8" s="90" t="s">
        <v>527</v>
      </c>
      <c r="AZ8" s="85" t="s">
        <v>66</v>
      </c>
      <c r="BA8" s="85" t="str">
        <f>REPLACE(INDEX(GroupVertices[Group],MATCH(Vertices[[#This Row],[Vertex]],GroupVertices[Vertex],0)),1,1,"")</f>
        <v>3</v>
      </c>
      <c r="BB8" s="51"/>
      <c r="BC8" s="51"/>
      <c r="BD8" s="51"/>
      <c r="BE8" s="51"/>
      <c r="BF8" s="51"/>
      <c r="BG8" s="51"/>
      <c r="BH8" s="132" t="s">
        <v>830</v>
      </c>
      <c r="BI8" s="132" t="s">
        <v>830</v>
      </c>
      <c r="BJ8" s="132" t="s">
        <v>848</v>
      </c>
      <c r="BK8" s="132" t="s">
        <v>848</v>
      </c>
      <c r="BL8" s="132">
        <v>0</v>
      </c>
      <c r="BM8" s="135">
        <v>0</v>
      </c>
      <c r="BN8" s="132">
        <v>0</v>
      </c>
      <c r="BO8" s="135">
        <v>0</v>
      </c>
      <c r="BP8" s="132">
        <v>0</v>
      </c>
      <c r="BQ8" s="135">
        <v>0</v>
      </c>
      <c r="BR8" s="132">
        <v>40</v>
      </c>
      <c r="BS8" s="135">
        <v>100</v>
      </c>
      <c r="BT8" s="132">
        <v>40</v>
      </c>
      <c r="BU8" s="2"/>
      <c r="BV8" s="3"/>
      <c r="BW8" s="3"/>
      <c r="BX8" s="3"/>
      <c r="BY8" s="3"/>
    </row>
    <row r="9" spans="1:77" ht="41.45" customHeight="1">
      <c r="A9" s="14" t="s">
        <v>214</v>
      </c>
      <c r="C9" s="15"/>
      <c r="D9" s="15" t="s">
        <v>64</v>
      </c>
      <c r="E9" s="93">
        <v>164.00104731781906</v>
      </c>
      <c r="F9" s="81">
        <v>99.99992165053817</v>
      </c>
      <c r="G9" s="112" t="s">
        <v>282</v>
      </c>
      <c r="H9" s="15"/>
      <c r="I9" s="16" t="s">
        <v>214</v>
      </c>
      <c r="J9" s="66"/>
      <c r="K9" s="66"/>
      <c r="L9" s="114" t="s">
        <v>555</v>
      </c>
      <c r="M9" s="94">
        <v>1.0261112639791075</v>
      </c>
      <c r="N9" s="95">
        <v>5480.68701171875</v>
      </c>
      <c r="O9" s="95">
        <v>6619.37158203125</v>
      </c>
      <c r="P9" s="77"/>
      <c r="Q9" s="96"/>
      <c r="R9" s="96"/>
      <c r="S9" s="97"/>
      <c r="T9" s="51">
        <v>0</v>
      </c>
      <c r="U9" s="51">
        <v>2</v>
      </c>
      <c r="V9" s="52">
        <v>0</v>
      </c>
      <c r="W9" s="52">
        <v>0.166667</v>
      </c>
      <c r="X9" s="52">
        <v>0</v>
      </c>
      <c r="Y9" s="52">
        <v>0.740445</v>
      </c>
      <c r="Z9" s="52">
        <v>0.5</v>
      </c>
      <c r="AA9" s="52">
        <v>0</v>
      </c>
      <c r="AB9" s="82">
        <v>9</v>
      </c>
      <c r="AC9" s="82"/>
      <c r="AD9" s="98"/>
      <c r="AE9" s="85" t="s">
        <v>388</v>
      </c>
      <c r="AF9" s="85">
        <v>25</v>
      </c>
      <c r="AG9" s="85">
        <v>152</v>
      </c>
      <c r="AH9" s="85">
        <v>186</v>
      </c>
      <c r="AI9" s="85">
        <v>140</v>
      </c>
      <c r="AJ9" s="85"/>
      <c r="AK9" s="85" t="s">
        <v>415</v>
      </c>
      <c r="AL9" s="85" t="s">
        <v>442</v>
      </c>
      <c r="AM9" s="90" t="s">
        <v>463</v>
      </c>
      <c r="AN9" s="85"/>
      <c r="AO9" s="87">
        <v>42922.639652777776</v>
      </c>
      <c r="AP9" s="85"/>
      <c r="AQ9" s="85" t="b">
        <v>1</v>
      </c>
      <c r="AR9" s="85" t="b">
        <v>0</v>
      </c>
      <c r="AS9" s="85" t="b">
        <v>0</v>
      </c>
      <c r="AT9" s="85" t="s">
        <v>352</v>
      </c>
      <c r="AU9" s="85">
        <v>10</v>
      </c>
      <c r="AV9" s="85"/>
      <c r="AW9" s="85" t="b">
        <v>0</v>
      </c>
      <c r="AX9" s="85" t="s">
        <v>521</v>
      </c>
      <c r="AY9" s="90" t="s">
        <v>528</v>
      </c>
      <c r="AZ9" s="85" t="s">
        <v>66</v>
      </c>
      <c r="BA9" s="85" t="str">
        <f>REPLACE(INDEX(GroupVertices[Group],MATCH(Vertices[[#This Row],[Vertex]],GroupVertices[Vertex],0)),1,1,"")</f>
        <v>3</v>
      </c>
      <c r="BB9" s="51"/>
      <c r="BC9" s="51"/>
      <c r="BD9" s="51"/>
      <c r="BE9" s="51"/>
      <c r="BF9" s="51"/>
      <c r="BG9" s="51"/>
      <c r="BH9" s="132" t="s">
        <v>829</v>
      </c>
      <c r="BI9" s="132" t="s">
        <v>829</v>
      </c>
      <c r="BJ9" s="132" t="s">
        <v>847</v>
      </c>
      <c r="BK9" s="132" t="s">
        <v>847</v>
      </c>
      <c r="BL9" s="132">
        <v>0</v>
      </c>
      <c r="BM9" s="135">
        <v>0</v>
      </c>
      <c r="BN9" s="132">
        <v>0</v>
      </c>
      <c r="BO9" s="135">
        <v>0</v>
      </c>
      <c r="BP9" s="132">
        <v>0</v>
      </c>
      <c r="BQ9" s="135">
        <v>0</v>
      </c>
      <c r="BR9" s="132">
        <v>19</v>
      </c>
      <c r="BS9" s="135">
        <v>100</v>
      </c>
      <c r="BT9" s="132">
        <v>19</v>
      </c>
      <c r="BU9" s="2"/>
      <c r="BV9" s="3"/>
      <c r="BW9" s="3"/>
      <c r="BX9" s="3"/>
      <c r="BY9" s="3"/>
    </row>
    <row r="10" spans="1:77" ht="41.45" customHeight="1">
      <c r="A10" s="14" t="s">
        <v>216</v>
      </c>
      <c r="C10" s="15"/>
      <c r="D10" s="15" t="s">
        <v>64</v>
      </c>
      <c r="E10" s="93">
        <v>209.46343813493644</v>
      </c>
      <c r="F10" s="81">
        <v>99.99814160574748</v>
      </c>
      <c r="G10" s="112" t="s">
        <v>283</v>
      </c>
      <c r="H10" s="15"/>
      <c r="I10" s="16" t="s">
        <v>216</v>
      </c>
      <c r="J10" s="66"/>
      <c r="K10" s="66"/>
      <c r="L10" s="114" t="s">
        <v>556</v>
      </c>
      <c r="M10" s="94">
        <v>1.6193408578904105</v>
      </c>
      <c r="N10" s="95">
        <v>4817.82666015625</v>
      </c>
      <c r="O10" s="95">
        <v>9547.2802734375</v>
      </c>
      <c r="P10" s="77"/>
      <c r="Q10" s="96"/>
      <c r="R10" s="96"/>
      <c r="S10" s="97"/>
      <c r="T10" s="51">
        <v>0</v>
      </c>
      <c r="U10" s="51">
        <v>2</v>
      </c>
      <c r="V10" s="52">
        <v>0</v>
      </c>
      <c r="W10" s="52">
        <v>0.166667</v>
      </c>
      <c r="X10" s="52">
        <v>0</v>
      </c>
      <c r="Y10" s="52">
        <v>0.740445</v>
      </c>
      <c r="Z10" s="52">
        <v>0.5</v>
      </c>
      <c r="AA10" s="52">
        <v>0</v>
      </c>
      <c r="AB10" s="82">
        <v>10</v>
      </c>
      <c r="AC10" s="82"/>
      <c r="AD10" s="98"/>
      <c r="AE10" s="85" t="s">
        <v>389</v>
      </c>
      <c r="AF10" s="85">
        <v>803</v>
      </c>
      <c r="AG10" s="85">
        <v>2742</v>
      </c>
      <c r="AH10" s="85">
        <v>11907</v>
      </c>
      <c r="AI10" s="85">
        <v>5136</v>
      </c>
      <c r="AJ10" s="85"/>
      <c r="AK10" s="85" t="s">
        <v>416</v>
      </c>
      <c r="AL10" s="85" t="s">
        <v>443</v>
      </c>
      <c r="AM10" s="90" t="s">
        <v>464</v>
      </c>
      <c r="AN10" s="85"/>
      <c r="AO10" s="87">
        <v>39990.77425925926</v>
      </c>
      <c r="AP10" s="90" t="s">
        <v>484</v>
      </c>
      <c r="AQ10" s="85" t="b">
        <v>0</v>
      </c>
      <c r="AR10" s="85" t="b">
        <v>0</v>
      </c>
      <c r="AS10" s="85" t="b">
        <v>1</v>
      </c>
      <c r="AT10" s="85" t="s">
        <v>352</v>
      </c>
      <c r="AU10" s="85">
        <v>137</v>
      </c>
      <c r="AV10" s="90" t="s">
        <v>505</v>
      </c>
      <c r="AW10" s="85" t="b">
        <v>0</v>
      </c>
      <c r="AX10" s="85" t="s">
        <v>521</v>
      </c>
      <c r="AY10" s="90" t="s">
        <v>529</v>
      </c>
      <c r="AZ10" s="85" t="s">
        <v>66</v>
      </c>
      <c r="BA10" s="85" t="str">
        <f>REPLACE(INDEX(GroupVertices[Group],MATCH(Vertices[[#This Row],[Vertex]],GroupVertices[Vertex],0)),1,1,"")</f>
        <v>3</v>
      </c>
      <c r="BB10" s="51"/>
      <c r="BC10" s="51"/>
      <c r="BD10" s="51"/>
      <c r="BE10" s="51"/>
      <c r="BF10" s="51"/>
      <c r="BG10" s="51"/>
      <c r="BH10" s="132" t="s">
        <v>829</v>
      </c>
      <c r="BI10" s="132" t="s">
        <v>829</v>
      </c>
      <c r="BJ10" s="132" t="s">
        <v>847</v>
      </c>
      <c r="BK10" s="132" t="s">
        <v>847</v>
      </c>
      <c r="BL10" s="132">
        <v>0</v>
      </c>
      <c r="BM10" s="135">
        <v>0</v>
      </c>
      <c r="BN10" s="132">
        <v>0</v>
      </c>
      <c r="BO10" s="135">
        <v>0</v>
      </c>
      <c r="BP10" s="132">
        <v>0</v>
      </c>
      <c r="BQ10" s="135">
        <v>0</v>
      </c>
      <c r="BR10" s="132">
        <v>19</v>
      </c>
      <c r="BS10" s="135">
        <v>100</v>
      </c>
      <c r="BT10" s="132">
        <v>19</v>
      </c>
      <c r="BU10" s="2"/>
      <c r="BV10" s="3"/>
      <c r="BW10" s="3"/>
      <c r="BX10" s="3"/>
      <c r="BY10" s="3"/>
    </row>
    <row r="11" spans="1:77" ht="41.45" customHeight="1">
      <c r="A11" s="14" t="s">
        <v>217</v>
      </c>
      <c r="C11" s="15"/>
      <c r="D11" s="15" t="s">
        <v>64</v>
      </c>
      <c r="E11" s="93">
        <v>178.65784126851133</v>
      </c>
      <c r="F11" s="81">
        <v>99.99934777509407</v>
      </c>
      <c r="G11" s="112" t="s">
        <v>284</v>
      </c>
      <c r="H11" s="15"/>
      <c r="I11" s="16" t="s">
        <v>217</v>
      </c>
      <c r="J11" s="66"/>
      <c r="K11" s="66"/>
      <c r="L11" s="114" t="s">
        <v>557</v>
      </c>
      <c r="M11" s="94">
        <v>1.2173648203173075</v>
      </c>
      <c r="N11" s="95">
        <v>1302.7352294921875</v>
      </c>
      <c r="O11" s="95">
        <v>9570.2197265625</v>
      </c>
      <c r="P11" s="77"/>
      <c r="Q11" s="96"/>
      <c r="R11" s="96"/>
      <c r="S11" s="97"/>
      <c r="T11" s="51">
        <v>0</v>
      </c>
      <c r="U11" s="51">
        <v>2</v>
      </c>
      <c r="V11" s="52">
        <v>0</v>
      </c>
      <c r="W11" s="52">
        <v>0.071429</v>
      </c>
      <c r="X11" s="52">
        <v>0.088692</v>
      </c>
      <c r="Y11" s="52">
        <v>0.634398</v>
      </c>
      <c r="Z11" s="52">
        <v>0.5</v>
      </c>
      <c r="AA11" s="52">
        <v>0</v>
      </c>
      <c r="AB11" s="82">
        <v>11</v>
      </c>
      <c r="AC11" s="82"/>
      <c r="AD11" s="98"/>
      <c r="AE11" s="85" t="s">
        <v>390</v>
      </c>
      <c r="AF11" s="85">
        <v>898</v>
      </c>
      <c r="AG11" s="85">
        <v>987</v>
      </c>
      <c r="AH11" s="85">
        <v>14157</v>
      </c>
      <c r="AI11" s="85">
        <v>4160</v>
      </c>
      <c r="AJ11" s="85"/>
      <c r="AK11" s="85" t="s">
        <v>417</v>
      </c>
      <c r="AL11" s="85" t="s">
        <v>444</v>
      </c>
      <c r="AM11" s="90" t="s">
        <v>465</v>
      </c>
      <c r="AN11" s="85"/>
      <c r="AO11" s="87">
        <v>39408.116111111114</v>
      </c>
      <c r="AP11" s="90" t="s">
        <v>485</v>
      </c>
      <c r="AQ11" s="85" t="b">
        <v>0</v>
      </c>
      <c r="AR11" s="85" t="b">
        <v>0</v>
      </c>
      <c r="AS11" s="85" t="b">
        <v>1</v>
      </c>
      <c r="AT11" s="85" t="s">
        <v>352</v>
      </c>
      <c r="AU11" s="85">
        <v>40</v>
      </c>
      <c r="AV11" s="90" t="s">
        <v>506</v>
      </c>
      <c r="AW11" s="85" t="b">
        <v>0</v>
      </c>
      <c r="AX11" s="85" t="s">
        <v>521</v>
      </c>
      <c r="AY11" s="90" t="s">
        <v>530</v>
      </c>
      <c r="AZ11" s="85" t="s">
        <v>66</v>
      </c>
      <c r="BA11" s="85" t="str">
        <f>REPLACE(INDEX(GroupVertices[Group],MATCH(Vertices[[#This Row],[Vertex]],GroupVertices[Vertex],0)),1,1,"")</f>
        <v>1</v>
      </c>
      <c r="BB11" s="51"/>
      <c r="BC11" s="51"/>
      <c r="BD11" s="51"/>
      <c r="BE11" s="51"/>
      <c r="BF11" s="51"/>
      <c r="BG11" s="51"/>
      <c r="BH11" s="132" t="s">
        <v>831</v>
      </c>
      <c r="BI11" s="132" t="s">
        <v>831</v>
      </c>
      <c r="BJ11" s="132" t="s">
        <v>849</v>
      </c>
      <c r="BK11" s="132" t="s">
        <v>849</v>
      </c>
      <c r="BL11" s="132">
        <v>0</v>
      </c>
      <c r="BM11" s="135">
        <v>0</v>
      </c>
      <c r="BN11" s="132">
        <v>0</v>
      </c>
      <c r="BO11" s="135">
        <v>0</v>
      </c>
      <c r="BP11" s="132">
        <v>0</v>
      </c>
      <c r="BQ11" s="135">
        <v>0</v>
      </c>
      <c r="BR11" s="132">
        <v>20</v>
      </c>
      <c r="BS11" s="135">
        <v>100</v>
      </c>
      <c r="BT11" s="132">
        <v>20</v>
      </c>
      <c r="BU11" s="2"/>
      <c r="BV11" s="3"/>
      <c r="BW11" s="3"/>
      <c r="BX11" s="3"/>
      <c r="BY11" s="3"/>
    </row>
    <row r="12" spans="1:77" ht="41.45" customHeight="1">
      <c r="A12" s="14" t="s">
        <v>234</v>
      </c>
      <c r="C12" s="15"/>
      <c r="D12" s="15" t="s">
        <v>64</v>
      </c>
      <c r="E12" s="93">
        <v>190.13753377599966</v>
      </c>
      <c r="F12" s="81">
        <v>99.99889829660252</v>
      </c>
      <c r="G12" s="112" t="s">
        <v>513</v>
      </c>
      <c r="H12" s="15"/>
      <c r="I12" s="16" t="s">
        <v>234</v>
      </c>
      <c r="J12" s="66"/>
      <c r="K12" s="66"/>
      <c r="L12" s="114" t="s">
        <v>558</v>
      </c>
      <c r="M12" s="94">
        <v>1.3671610189342929</v>
      </c>
      <c r="N12" s="95">
        <v>1596.9234619140625</v>
      </c>
      <c r="O12" s="95">
        <v>3866.94873046875</v>
      </c>
      <c r="P12" s="77"/>
      <c r="Q12" s="96"/>
      <c r="R12" s="96"/>
      <c r="S12" s="97"/>
      <c r="T12" s="51">
        <v>8</v>
      </c>
      <c r="U12" s="51">
        <v>0</v>
      </c>
      <c r="V12" s="52">
        <v>21</v>
      </c>
      <c r="W12" s="52">
        <v>0.125</v>
      </c>
      <c r="X12" s="52">
        <v>0.189576</v>
      </c>
      <c r="Y12" s="52">
        <v>2.279527</v>
      </c>
      <c r="Z12" s="52">
        <v>0.125</v>
      </c>
      <c r="AA12" s="52">
        <v>0</v>
      </c>
      <c r="AB12" s="82">
        <v>12</v>
      </c>
      <c r="AC12" s="82"/>
      <c r="AD12" s="98"/>
      <c r="AE12" s="85" t="s">
        <v>391</v>
      </c>
      <c r="AF12" s="85">
        <v>85</v>
      </c>
      <c r="AG12" s="85">
        <v>1641</v>
      </c>
      <c r="AH12" s="85">
        <v>924</v>
      </c>
      <c r="AI12" s="85">
        <v>882</v>
      </c>
      <c r="AJ12" s="85"/>
      <c r="AK12" s="85" t="s">
        <v>418</v>
      </c>
      <c r="AL12" s="85" t="s">
        <v>445</v>
      </c>
      <c r="AM12" s="90" t="s">
        <v>466</v>
      </c>
      <c r="AN12" s="85"/>
      <c r="AO12" s="87">
        <v>42387.5859375</v>
      </c>
      <c r="AP12" s="90" t="s">
        <v>486</v>
      </c>
      <c r="AQ12" s="85" t="b">
        <v>1</v>
      </c>
      <c r="AR12" s="85" t="b">
        <v>0</v>
      </c>
      <c r="AS12" s="85" t="b">
        <v>0</v>
      </c>
      <c r="AT12" s="85"/>
      <c r="AU12" s="85">
        <v>33</v>
      </c>
      <c r="AV12" s="85"/>
      <c r="AW12" s="85" t="b">
        <v>0</v>
      </c>
      <c r="AX12" s="85" t="s">
        <v>521</v>
      </c>
      <c r="AY12" s="90" t="s">
        <v>531</v>
      </c>
      <c r="AZ12" s="85" t="s">
        <v>65</v>
      </c>
      <c r="BA12" s="85" t="str">
        <f>REPLACE(INDEX(GroupVertices[Group],MATCH(Vertices[[#This Row],[Vertex]],GroupVertices[Vertex],0)),1,1,"")</f>
        <v>1</v>
      </c>
      <c r="BB12" s="51"/>
      <c r="BC12" s="51"/>
      <c r="BD12" s="51"/>
      <c r="BE12" s="51"/>
      <c r="BF12" s="51"/>
      <c r="BG12" s="51"/>
      <c r="BH12" s="51"/>
      <c r="BI12" s="51"/>
      <c r="BJ12" s="51"/>
      <c r="BK12" s="51"/>
      <c r="BL12" s="51"/>
      <c r="BM12" s="52"/>
      <c r="BN12" s="51"/>
      <c r="BO12" s="52"/>
      <c r="BP12" s="51"/>
      <c r="BQ12" s="52"/>
      <c r="BR12" s="51"/>
      <c r="BS12" s="52"/>
      <c r="BT12" s="51"/>
      <c r="BU12" s="2"/>
      <c r="BV12" s="3"/>
      <c r="BW12" s="3"/>
      <c r="BX12" s="3"/>
      <c r="BY12" s="3"/>
    </row>
    <row r="13" spans="1:77" ht="41.45" customHeight="1">
      <c r="A13" s="14" t="s">
        <v>223</v>
      </c>
      <c r="C13" s="15"/>
      <c r="D13" s="15" t="s">
        <v>64</v>
      </c>
      <c r="E13" s="93">
        <v>207.7256865168304</v>
      </c>
      <c r="F13" s="81">
        <v>99.9982096460696</v>
      </c>
      <c r="G13" s="112" t="s">
        <v>290</v>
      </c>
      <c r="H13" s="15"/>
      <c r="I13" s="16" t="s">
        <v>223</v>
      </c>
      <c r="J13" s="66"/>
      <c r="K13" s="66"/>
      <c r="L13" s="114" t="s">
        <v>559</v>
      </c>
      <c r="M13" s="94">
        <v>1.5966652865401327</v>
      </c>
      <c r="N13" s="95">
        <v>2012.646728515625</v>
      </c>
      <c r="O13" s="95">
        <v>5114.2734375</v>
      </c>
      <c r="P13" s="77"/>
      <c r="Q13" s="96"/>
      <c r="R13" s="96"/>
      <c r="S13" s="97"/>
      <c r="T13" s="51">
        <v>7</v>
      </c>
      <c r="U13" s="51">
        <v>1</v>
      </c>
      <c r="V13" s="52">
        <v>21</v>
      </c>
      <c r="W13" s="52">
        <v>0.125</v>
      </c>
      <c r="X13" s="52">
        <v>0.189576</v>
      </c>
      <c r="Y13" s="52">
        <v>2.279527</v>
      </c>
      <c r="Z13" s="52">
        <v>0.125</v>
      </c>
      <c r="AA13" s="52">
        <v>0</v>
      </c>
      <c r="AB13" s="82">
        <v>13</v>
      </c>
      <c r="AC13" s="82"/>
      <c r="AD13" s="98"/>
      <c r="AE13" s="85" t="s">
        <v>392</v>
      </c>
      <c r="AF13" s="85">
        <v>888</v>
      </c>
      <c r="AG13" s="85">
        <v>2643</v>
      </c>
      <c r="AH13" s="85">
        <v>8880</v>
      </c>
      <c r="AI13" s="85">
        <v>12472</v>
      </c>
      <c r="AJ13" s="85"/>
      <c r="AK13" s="85" t="s">
        <v>419</v>
      </c>
      <c r="AL13" s="85" t="s">
        <v>446</v>
      </c>
      <c r="AM13" s="85"/>
      <c r="AN13" s="85"/>
      <c r="AO13" s="87">
        <v>39824.13381944445</v>
      </c>
      <c r="AP13" s="90" t="s">
        <v>487</v>
      </c>
      <c r="AQ13" s="85" t="b">
        <v>0</v>
      </c>
      <c r="AR13" s="85" t="b">
        <v>0</v>
      </c>
      <c r="AS13" s="85" t="b">
        <v>0</v>
      </c>
      <c r="AT13" s="85" t="s">
        <v>353</v>
      </c>
      <c r="AU13" s="85">
        <v>106</v>
      </c>
      <c r="AV13" s="90" t="s">
        <v>507</v>
      </c>
      <c r="AW13" s="85" t="b">
        <v>0</v>
      </c>
      <c r="AX13" s="85" t="s">
        <v>521</v>
      </c>
      <c r="AY13" s="90" t="s">
        <v>532</v>
      </c>
      <c r="AZ13" s="85" t="s">
        <v>66</v>
      </c>
      <c r="BA13" s="85" t="str">
        <f>REPLACE(INDEX(GroupVertices[Group],MATCH(Vertices[[#This Row],[Vertex]],GroupVertices[Vertex],0)),1,1,"")</f>
        <v>1</v>
      </c>
      <c r="BB13" s="51"/>
      <c r="BC13" s="51"/>
      <c r="BD13" s="51"/>
      <c r="BE13" s="51"/>
      <c r="BF13" s="51"/>
      <c r="BG13" s="51"/>
      <c r="BH13" s="132" t="s">
        <v>832</v>
      </c>
      <c r="BI13" s="132" t="s">
        <v>832</v>
      </c>
      <c r="BJ13" s="132" t="s">
        <v>850</v>
      </c>
      <c r="BK13" s="132" t="s">
        <v>850</v>
      </c>
      <c r="BL13" s="132">
        <v>0</v>
      </c>
      <c r="BM13" s="135">
        <v>0</v>
      </c>
      <c r="BN13" s="132">
        <v>0</v>
      </c>
      <c r="BO13" s="135">
        <v>0</v>
      </c>
      <c r="BP13" s="132">
        <v>0</v>
      </c>
      <c r="BQ13" s="135">
        <v>0</v>
      </c>
      <c r="BR13" s="132">
        <v>26</v>
      </c>
      <c r="BS13" s="135">
        <v>100</v>
      </c>
      <c r="BT13" s="132">
        <v>26</v>
      </c>
      <c r="BU13" s="2"/>
      <c r="BV13" s="3"/>
      <c r="BW13" s="3"/>
      <c r="BX13" s="3"/>
      <c r="BY13" s="3"/>
    </row>
    <row r="14" spans="1:77" ht="41.45" customHeight="1">
      <c r="A14" s="14" t="s">
        <v>218</v>
      </c>
      <c r="C14" s="15"/>
      <c r="D14" s="15" t="s">
        <v>64</v>
      </c>
      <c r="E14" s="93">
        <v>178.973796108167</v>
      </c>
      <c r="F14" s="81">
        <v>99.99933540412641</v>
      </c>
      <c r="G14" s="112" t="s">
        <v>285</v>
      </c>
      <c r="H14" s="15"/>
      <c r="I14" s="16" t="s">
        <v>218</v>
      </c>
      <c r="J14" s="66"/>
      <c r="K14" s="66"/>
      <c r="L14" s="114" t="s">
        <v>560</v>
      </c>
      <c r="M14" s="94">
        <v>1.2214876514719035</v>
      </c>
      <c r="N14" s="95">
        <v>1897.936279296875</v>
      </c>
      <c r="O14" s="95">
        <v>6986.38818359375</v>
      </c>
      <c r="P14" s="77"/>
      <c r="Q14" s="96"/>
      <c r="R14" s="96"/>
      <c r="S14" s="97"/>
      <c r="T14" s="51">
        <v>0</v>
      </c>
      <c r="U14" s="51">
        <v>2</v>
      </c>
      <c r="V14" s="52">
        <v>0</v>
      </c>
      <c r="W14" s="52">
        <v>0.071429</v>
      </c>
      <c r="X14" s="52">
        <v>0.088692</v>
      </c>
      <c r="Y14" s="52">
        <v>0.634398</v>
      </c>
      <c r="Z14" s="52">
        <v>0.5</v>
      </c>
      <c r="AA14" s="52">
        <v>0</v>
      </c>
      <c r="AB14" s="82">
        <v>14</v>
      </c>
      <c r="AC14" s="82"/>
      <c r="AD14" s="98"/>
      <c r="AE14" s="85" t="s">
        <v>393</v>
      </c>
      <c r="AF14" s="85">
        <v>83</v>
      </c>
      <c r="AG14" s="85">
        <v>1005</v>
      </c>
      <c r="AH14" s="85">
        <v>281844</v>
      </c>
      <c r="AI14" s="85">
        <v>118385</v>
      </c>
      <c r="AJ14" s="85"/>
      <c r="AK14" s="85" t="s">
        <v>420</v>
      </c>
      <c r="AL14" s="85" t="s">
        <v>447</v>
      </c>
      <c r="AM14" s="90" t="s">
        <v>467</v>
      </c>
      <c r="AN14" s="85"/>
      <c r="AO14" s="87">
        <v>40073.017118055555</v>
      </c>
      <c r="AP14" s="90" t="s">
        <v>488</v>
      </c>
      <c r="AQ14" s="85" t="b">
        <v>1</v>
      </c>
      <c r="AR14" s="85" t="b">
        <v>0</v>
      </c>
      <c r="AS14" s="85" t="b">
        <v>1</v>
      </c>
      <c r="AT14" s="85" t="s">
        <v>352</v>
      </c>
      <c r="AU14" s="85">
        <v>99</v>
      </c>
      <c r="AV14" s="90" t="s">
        <v>503</v>
      </c>
      <c r="AW14" s="85" t="b">
        <v>0</v>
      </c>
      <c r="AX14" s="85" t="s">
        <v>521</v>
      </c>
      <c r="AY14" s="90" t="s">
        <v>533</v>
      </c>
      <c r="AZ14" s="85" t="s">
        <v>66</v>
      </c>
      <c r="BA14" s="85" t="str">
        <f>REPLACE(INDEX(GroupVertices[Group],MATCH(Vertices[[#This Row],[Vertex]],GroupVertices[Vertex],0)),1,1,"")</f>
        <v>1</v>
      </c>
      <c r="BB14" s="51"/>
      <c r="BC14" s="51"/>
      <c r="BD14" s="51"/>
      <c r="BE14" s="51"/>
      <c r="BF14" s="51"/>
      <c r="BG14" s="51"/>
      <c r="BH14" s="132" t="s">
        <v>831</v>
      </c>
      <c r="BI14" s="132" t="s">
        <v>831</v>
      </c>
      <c r="BJ14" s="132" t="s">
        <v>849</v>
      </c>
      <c r="BK14" s="132" t="s">
        <v>849</v>
      </c>
      <c r="BL14" s="132">
        <v>0</v>
      </c>
      <c r="BM14" s="135">
        <v>0</v>
      </c>
      <c r="BN14" s="132">
        <v>0</v>
      </c>
      <c r="BO14" s="135">
        <v>0</v>
      </c>
      <c r="BP14" s="132">
        <v>0</v>
      </c>
      <c r="BQ14" s="135">
        <v>0</v>
      </c>
      <c r="BR14" s="132">
        <v>20</v>
      </c>
      <c r="BS14" s="135">
        <v>100</v>
      </c>
      <c r="BT14" s="132">
        <v>20</v>
      </c>
      <c r="BU14" s="2"/>
      <c r="BV14" s="3"/>
      <c r="BW14" s="3"/>
      <c r="BX14" s="3"/>
      <c r="BY14" s="3"/>
    </row>
    <row r="15" spans="1:77" ht="41.45" customHeight="1">
      <c r="A15" s="14" t="s">
        <v>219</v>
      </c>
      <c r="C15" s="15"/>
      <c r="D15" s="15" t="s">
        <v>64</v>
      </c>
      <c r="E15" s="93">
        <v>166.1776251021135</v>
      </c>
      <c r="F15" s="81">
        <v>99.99983642831653</v>
      </c>
      <c r="G15" s="112" t="s">
        <v>286</v>
      </c>
      <c r="H15" s="15"/>
      <c r="I15" s="16" t="s">
        <v>219</v>
      </c>
      <c r="J15" s="66"/>
      <c r="K15" s="66"/>
      <c r="L15" s="114" t="s">
        <v>561</v>
      </c>
      <c r="M15" s="94">
        <v>1.0545129897107683</v>
      </c>
      <c r="N15" s="95">
        <v>633.4320678710938</v>
      </c>
      <c r="O15" s="95">
        <v>1174.8271484375</v>
      </c>
      <c r="P15" s="77"/>
      <c r="Q15" s="96"/>
      <c r="R15" s="96"/>
      <c r="S15" s="97"/>
      <c r="T15" s="51">
        <v>0</v>
      </c>
      <c r="U15" s="51">
        <v>2</v>
      </c>
      <c r="V15" s="52">
        <v>0</v>
      </c>
      <c r="W15" s="52">
        <v>0.071429</v>
      </c>
      <c r="X15" s="52">
        <v>0.088692</v>
      </c>
      <c r="Y15" s="52">
        <v>0.634398</v>
      </c>
      <c r="Z15" s="52">
        <v>0.5</v>
      </c>
      <c r="AA15" s="52">
        <v>0</v>
      </c>
      <c r="AB15" s="82">
        <v>15</v>
      </c>
      <c r="AC15" s="82"/>
      <c r="AD15" s="98"/>
      <c r="AE15" s="85" t="s">
        <v>394</v>
      </c>
      <c r="AF15" s="85">
        <v>260</v>
      </c>
      <c r="AG15" s="85">
        <v>276</v>
      </c>
      <c r="AH15" s="85">
        <v>900</v>
      </c>
      <c r="AI15" s="85">
        <v>2121</v>
      </c>
      <c r="AJ15" s="85"/>
      <c r="AK15" s="85" t="s">
        <v>421</v>
      </c>
      <c r="AL15" s="85" t="s">
        <v>445</v>
      </c>
      <c r="AM15" s="85"/>
      <c r="AN15" s="85"/>
      <c r="AO15" s="87">
        <v>43006.02898148148</v>
      </c>
      <c r="AP15" s="90" t="s">
        <v>489</v>
      </c>
      <c r="AQ15" s="85" t="b">
        <v>0</v>
      </c>
      <c r="AR15" s="85" t="b">
        <v>0</v>
      </c>
      <c r="AS15" s="85" t="b">
        <v>1</v>
      </c>
      <c r="AT15" s="85" t="s">
        <v>352</v>
      </c>
      <c r="AU15" s="85">
        <v>1</v>
      </c>
      <c r="AV15" s="90" t="s">
        <v>503</v>
      </c>
      <c r="AW15" s="85" t="b">
        <v>0</v>
      </c>
      <c r="AX15" s="85" t="s">
        <v>521</v>
      </c>
      <c r="AY15" s="90" t="s">
        <v>534</v>
      </c>
      <c r="AZ15" s="85" t="s">
        <v>66</v>
      </c>
      <c r="BA15" s="85" t="str">
        <f>REPLACE(INDEX(GroupVertices[Group],MATCH(Vertices[[#This Row],[Vertex]],GroupVertices[Vertex],0)),1,1,"")</f>
        <v>1</v>
      </c>
      <c r="BB15" s="51"/>
      <c r="BC15" s="51"/>
      <c r="BD15" s="51"/>
      <c r="BE15" s="51"/>
      <c r="BF15" s="51"/>
      <c r="BG15" s="51"/>
      <c r="BH15" s="132" t="s">
        <v>831</v>
      </c>
      <c r="BI15" s="132" t="s">
        <v>831</v>
      </c>
      <c r="BJ15" s="132" t="s">
        <v>849</v>
      </c>
      <c r="BK15" s="132" t="s">
        <v>849</v>
      </c>
      <c r="BL15" s="132">
        <v>0</v>
      </c>
      <c r="BM15" s="135">
        <v>0</v>
      </c>
      <c r="BN15" s="132">
        <v>0</v>
      </c>
      <c r="BO15" s="135">
        <v>0</v>
      </c>
      <c r="BP15" s="132">
        <v>0</v>
      </c>
      <c r="BQ15" s="135">
        <v>0</v>
      </c>
      <c r="BR15" s="132">
        <v>20</v>
      </c>
      <c r="BS15" s="135">
        <v>100</v>
      </c>
      <c r="BT15" s="132">
        <v>20</v>
      </c>
      <c r="BU15" s="2"/>
      <c r="BV15" s="3"/>
      <c r="BW15" s="3"/>
      <c r="BX15" s="3"/>
      <c r="BY15" s="3"/>
    </row>
    <row r="16" spans="1:77" ht="41.45" customHeight="1">
      <c r="A16" s="14" t="s">
        <v>220</v>
      </c>
      <c r="C16" s="15"/>
      <c r="D16" s="15" t="s">
        <v>64</v>
      </c>
      <c r="E16" s="93">
        <v>178.6929473618064</v>
      </c>
      <c r="F16" s="81">
        <v>99.99934640054211</v>
      </c>
      <c r="G16" s="112" t="s">
        <v>287</v>
      </c>
      <c r="H16" s="15"/>
      <c r="I16" s="16" t="s">
        <v>220</v>
      </c>
      <c r="J16" s="66"/>
      <c r="K16" s="66"/>
      <c r="L16" s="114" t="s">
        <v>562</v>
      </c>
      <c r="M16" s="94">
        <v>1.2178229126678182</v>
      </c>
      <c r="N16" s="95">
        <v>2888.087158203125</v>
      </c>
      <c r="O16" s="95">
        <v>8060.240234375</v>
      </c>
      <c r="P16" s="77"/>
      <c r="Q16" s="96"/>
      <c r="R16" s="96"/>
      <c r="S16" s="97"/>
      <c r="T16" s="51">
        <v>0</v>
      </c>
      <c r="U16" s="51">
        <v>2</v>
      </c>
      <c r="V16" s="52">
        <v>0</v>
      </c>
      <c r="W16" s="52">
        <v>0.071429</v>
      </c>
      <c r="X16" s="52">
        <v>0.088692</v>
      </c>
      <c r="Y16" s="52">
        <v>0.634398</v>
      </c>
      <c r="Z16" s="52">
        <v>0.5</v>
      </c>
      <c r="AA16" s="52">
        <v>0</v>
      </c>
      <c r="AB16" s="82">
        <v>16</v>
      </c>
      <c r="AC16" s="82"/>
      <c r="AD16" s="98"/>
      <c r="AE16" s="85" t="s">
        <v>395</v>
      </c>
      <c r="AF16" s="85">
        <v>2119</v>
      </c>
      <c r="AG16" s="85">
        <v>989</v>
      </c>
      <c r="AH16" s="85">
        <v>11422</v>
      </c>
      <c r="AI16" s="85">
        <v>5123</v>
      </c>
      <c r="AJ16" s="85"/>
      <c r="AK16" s="85" t="s">
        <v>422</v>
      </c>
      <c r="AL16" s="85" t="s">
        <v>445</v>
      </c>
      <c r="AM16" s="90" t="s">
        <v>468</v>
      </c>
      <c r="AN16" s="85"/>
      <c r="AO16" s="87">
        <v>39967.60612268518</v>
      </c>
      <c r="AP16" s="90" t="s">
        <v>490</v>
      </c>
      <c r="AQ16" s="85" t="b">
        <v>0</v>
      </c>
      <c r="AR16" s="85" t="b">
        <v>0</v>
      </c>
      <c r="AS16" s="85" t="b">
        <v>1</v>
      </c>
      <c r="AT16" s="85" t="s">
        <v>352</v>
      </c>
      <c r="AU16" s="85">
        <v>25</v>
      </c>
      <c r="AV16" s="90" t="s">
        <v>508</v>
      </c>
      <c r="AW16" s="85" t="b">
        <v>0</v>
      </c>
      <c r="AX16" s="85" t="s">
        <v>521</v>
      </c>
      <c r="AY16" s="90" t="s">
        <v>535</v>
      </c>
      <c r="AZ16" s="85" t="s">
        <v>66</v>
      </c>
      <c r="BA16" s="85" t="str">
        <f>REPLACE(INDEX(GroupVertices[Group],MATCH(Vertices[[#This Row],[Vertex]],GroupVertices[Vertex],0)),1,1,"")</f>
        <v>1</v>
      </c>
      <c r="BB16" s="51"/>
      <c r="BC16" s="51"/>
      <c r="BD16" s="51"/>
      <c r="BE16" s="51"/>
      <c r="BF16" s="51"/>
      <c r="BG16" s="51"/>
      <c r="BH16" s="132" t="s">
        <v>831</v>
      </c>
      <c r="BI16" s="132" t="s">
        <v>831</v>
      </c>
      <c r="BJ16" s="132" t="s">
        <v>849</v>
      </c>
      <c r="BK16" s="132" t="s">
        <v>849</v>
      </c>
      <c r="BL16" s="132">
        <v>0</v>
      </c>
      <c r="BM16" s="135">
        <v>0</v>
      </c>
      <c r="BN16" s="132">
        <v>0</v>
      </c>
      <c r="BO16" s="135">
        <v>0</v>
      </c>
      <c r="BP16" s="132">
        <v>0</v>
      </c>
      <c r="BQ16" s="135">
        <v>0</v>
      </c>
      <c r="BR16" s="132">
        <v>20</v>
      </c>
      <c r="BS16" s="135">
        <v>100</v>
      </c>
      <c r="BT16" s="132">
        <v>20</v>
      </c>
      <c r="BU16" s="2"/>
      <c r="BV16" s="3"/>
      <c r="BW16" s="3"/>
      <c r="BX16" s="3"/>
      <c r="BY16" s="3"/>
    </row>
    <row r="17" spans="1:77" ht="41.45" customHeight="1">
      <c r="A17" s="14" t="s">
        <v>221</v>
      </c>
      <c r="C17" s="15"/>
      <c r="D17" s="15" t="s">
        <v>64</v>
      </c>
      <c r="E17" s="93">
        <v>202.60019689574997</v>
      </c>
      <c r="F17" s="81">
        <v>99.99841033065603</v>
      </c>
      <c r="G17" s="112" t="s">
        <v>288</v>
      </c>
      <c r="H17" s="15"/>
      <c r="I17" s="16" t="s">
        <v>221</v>
      </c>
      <c r="J17" s="66"/>
      <c r="K17" s="66"/>
      <c r="L17" s="114" t="s">
        <v>563</v>
      </c>
      <c r="M17" s="94">
        <v>1.5297838033655768</v>
      </c>
      <c r="N17" s="95">
        <v>3268.029296875</v>
      </c>
      <c r="O17" s="95">
        <v>3602.577392578125</v>
      </c>
      <c r="P17" s="77"/>
      <c r="Q17" s="96"/>
      <c r="R17" s="96"/>
      <c r="S17" s="97"/>
      <c r="T17" s="51">
        <v>0</v>
      </c>
      <c r="U17" s="51">
        <v>2</v>
      </c>
      <c r="V17" s="52">
        <v>0</v>
      </c>
      <c r="W17" s="52">
        <v>0.071429</v>
      </c>
      <c r="X17" s="52">
        <v>0.088692</v>
      </c>
      <c r="Y17" s="52">
        <v>0.634398</v>
      </c>
      <c r="Z17" s="52">
        <v>0.5</v>
      </c>
      <c r="AA17" s="52">
        <v>0</v>
      </c>
      <c r="AB17" s="82">
        <v>17</v>
      </c>
      <c r="AC17" s="82"/>
      <c r="AD17" s="98"/>
      <c r="AE17" s="85" t="s">
        <v>396</v>
      </c>
      <c r="AF17" s="85">
        <v>781</v>
      </c>
      <c r="AG17" s="85">
        <v>2351</v>
      </c>
      <c r="AH17" s="85">
        <v>6529</v>
      </c>
      <c r="AI17" s="85">
        <v>2245</v>
      </c>
      <c r="AJ17" s="85"/>
      <c r="AK17" s="85" t="s">
        <v>423</v>
      </c>
      <c r="AL17" s="85" t="s">
        <v>448</v>
      </c>
      <c r="AM17" s="85"/>
      <c r="AN17" s="85"/>
      <c r="AO17" s="87">
        <v>39543.153715277775</v>
      </c>
      <c r="AP17" s="90" t="s">
        <v>491</v>
      </c>
      <c r="AQ17" s="85" t="b">
        <v>0</v>
      </c>
      <c r="AR17" s="85" t="b">
        <v>0</v>
      </c>
      <c r="AS17" s="85" t="b">
        <v>1</v>
      </c>
      <c r="AT17" s="85" t="s">
        <v>352</v>
      </c>
      <c r="AU17" s="85">
        <v>55</v>
      </c>
      <c r="AV17" s="90" t="s">
        <v>503</v>
      </c>
      <c r="AW17" s="85" t="b">
        <v>0</v>
      </c>
      <c r="AX17" s="85" t="s">
        <v>521</v>
      </c>
      <c r="AY17" s="90" t="s">
        <v>536</v>
      </c>
      <c r="AZ17" s="85" t="s">
        <v>66</v>
      </c>
      <c r="BA17" s="85" t="str">
        <f>REPLACE(INDEX(GroupVertices[Group],MATCH(Vertices[[#This Row],[Vertex]],GroupVertices[Vertex],0)),1,1,"")</f>
        <v>1</v>
      </c>
      <c r="BB17" s="51"/>
      <c r="BC17" s="51"/>
      <c r="BD17" s="51"/>
      <c r="BE17" s="51"/>
      <c r="BF17" s="51"/>
      <c r="BG17" s="51"/>
      <c r="BH17" s="132" t="s">
        <v>831</v>
      </c>
      <c r="BI17" s="132" t="s">
        <v>831</v>
      </c>
      <c r="BJ17" s="132" t="s">
        <v>849</v>
      </c>
      <c r="BK17" s="132" t="s">
        <v>849</v>
      </c>
      <c r="BL17" s="132">
        <v>0</v>
      </c>
      <c r="BM17" s="135">
        <v>0</v>
      </c>
      <c r="BN17" s="132">
        <v>0</v>
      </c>
      <c r="BO17" s="135">
        <v>0</v>
      </c>
      <c r="BP17" s="132">
        <v>0</v>
      </c>
      <c r="BQ17" s="135">
        <v>0</v>
      </c>
      <c r="BR17" s="132">
        <v>20</v>
      </c>
      <c r="BS17" s="135">
        <v>100</v>
      </c>
      <c r="BT17" s="132">
        <v>20</v>
      </c>
      <c r="BU17" s="2"/>
      <c r="BV17" s="3"/>
      <c r="BW17" s="3"/>
      <c r="BX17" s="3"/>
      <c r="BY17" s="3"/>
    </row>
    <row r="18" spans="1:77" ht="41.45" customHeight="1">
      <c r="A18" s="14" t="s">
        <v>222</v>
      </c>
      <c r="C18" s="15"/>
      <c r="D18" s="15" t="s">
        <v>64</v>
      </c>
      <c r="E18" s="93">
        <v>165.8967763557529</v>
      </c>
      <c r="F18" s="81">
        <v>99.99984742473222</v>
      </c>
      <c r="G18" s="112" t="s">
        <v>289</v>
      </c>
      <c r="H18" s="15"/>
      <c r="I18" s="16" t="s">
        <v>222</v>
      </c>
      <c r="J18" s="66"/>
      <c r="K18" s="66"/>
      <c r="L18" s="114" t="s">
        <v>564</v>
      </c>
      <c r="M18" s="94">
        <v>1.0508482509066832</v>
      </c>
      <c r="N18" s="95">
        <v>232.59530639648438</v>
      </c>
      <c r="O18" s="95">
        <v>5457.626953125</v>
      </c>
      <c r="P18" s="77"/>
      <c r="Q18" s="96"/>
      <c r="R18" s="96"/>
      <c r="S18" s="97"/>
      <c r="T18" s="51">
        <v>0</v>
      </c>
      <c r="U18" s="51">
        <v>2</v>
      </c>
      <c r="V18" s="52">
        <v>0</v>
      </c>
      <c r="W18" s="52">
        <v>0.071429</v>
      </c>
      <c r="X18" s="52">
        <v>0.088692</v>
      </c>
      <c r="Y18" s="52">
        <v>0.634398</v>
      </c>
      <c r="Z18" s="52">
        <v>0.5</v>
      </c>
      <c r="AA18" s="52">
        <v>0</v>
      </c>
      <c r="AB18" s="82">
        <v>18</v>
      </c>
      <c r="AC18" s="82"/>
      <c r="AD18" s="98"/>
      <c r="AE18" s="85" t="s">
        <v>397</v>
      </c>
      <c r="AF18" s="85">
        <v>771</v>
      </c>
      <c r="AG18" s="85">
        <v>260</v>
      </c>
      <c r="AH18" s="85">
        <v>995</v>
      </c>
      <c r="AI18" s="85">
        <v>263</v>
      </c>
      <c r="AJ18" s="85"/>
      <c r="AK18" s="85" t="s">
        <v>424</v>
      </c>
      <c r="AL18" s="85"/>
      <c r="AM18" s="90" t="s">
        <v>469</v>
      </c>
      <c r="AN18" s="85"/>
      <c r="AO18" s="87">
        <v>40194.066979166666</v>
      </c>
      <c r="AP18" s="85"/>
      <c r="AQ18" s="85" t="b">
        <v>1</v>
      </c>
      <c r="AR18" s="85" t="b">
        <v>0</v>
      </c>
      <c r="AS18" s="85" t="b">
        <v>0</v>
      </c>
      <c r="AT18" s="85" t="s">
        <v>353</v>
      </c>
      <c r="AU18" s="85">
        <v>1</v>
      </c>
      <c r="AV18" s="90" t="s">
        <v>503</v>
      </c>
      <c r="AW18" s="85" t="b">
        <v>0</v>
      </c>
      <c r="AX18" s="85" t="s">
        <v>521</v>
      </c>
      <c r="AY18" s="90" t="s">
        <v>537</v>
      </c>
      <c r="AZ18" s="85" t="s">
        <v>66</v>
      </c>
      <c r="BA18" s="85" t="str">
        <f>REPLACE(INDEX(GroupVertices[Group],MATCH(Vertices[[#This Row],[Vertex]],GroupVertices[Vertex],0)),1,1,"")</f>
        <v>1</v>
      </c>
      <c r="BB18" s="51"/>
      <c r="BC18" s="51"/>
      <c r="BD18" s="51"/>
      <c r="BE18" s="51"/>
      <c r="BF18" s="51"/>
      <c r="BG18" s="51"/>
      <c r="BH18" s="132" t="s">
        <v>831</v>
      </c>
      <c r="BI18" s="132" t="s">
        <v>831</v>
      </c>
      <c r="BJ18" s="132" t="s">
        <v>849</v>
      </c>
      <c r="BK18" s="132" t="s">
        <v>849</v>
      </c>
      <c r="BL18" s="132">
        <v>0</v>
      </c>
      <c r="BM18" s="135">
        <v>0</v>
      </c>
      <c r="BN18" s="132">
        <v>0</v>
      </c>
      <c r="BO18" s="135">
        <v>0</v>
      </c>
      <c r="BP18" s="132">
        <v>0</v>
      </c>
      <c r="BQ18" s="135">
        <v>0</v>
      </c>
      <c r="BR18" s="132">
        <v>20</v>
      </c>
      <c r="BS18" s="135">
        <v>100</v>
      </c>
      <c r="BT18" s="132">
        <v>20</v>
      </c>
      <c r="BU18" s="2"/>
      <c r="BV18" s="3"/>
      <c r="BW18" s="3"/>
      <c r="BX18" s="3"/>
      <c r="BY18" s="3"/>
    </row>
    <row r="19" spans="1:77" ht="41.45" customHeight="1">
      <c r="A19" s="14" t="s">
        <v>224</v>
      </c>
      <c r="C19" s="15"/>
      <c r="D19" s="15" t="s">
        <v>64</v>
      </c>
      <c r="E19" s="93">
        <v>410.7266709955803</v>
      </c>
      <c r="F19" s="81">
        <v>99.99026129934977</v>
      </c>
      <c r="G19" s="112" t="s">
        <v>291</v>
      </c>
      <c r="H19" s="15"/>
      <c r="I19" s="16" t="s">
        <v>224</v>
      </c>
      <c r="J19" s="66"/>
      <c r="K19" s="66"/>
      <c r="L19" s="114" t="s">
        <v>565</v>
      </c>
      <c r="M19" s="94">
        <v>4.245584303368016</v>
      </c>
      <c r="N19" s="95">
        <v>2205.8623046875</v>
      </c>
      <c r="O19" s="95">
        <v>562.5909423828125</v>
      </c>
      <c r="P19" s="77"/>
      <c r="Q19" s="96"/>
      <c r="R19" s="96"/>
      <c r="S19" s="97"/>
      <c r="T19" s="51">
        <v>0</v>
      </c>
      <c r="U19" s="51">
        <v>2</v>
      </c>
      <c r="V19" s="52">
        <v>0</v>
      </c>
      <c r="W19" s="52">
        <v>0.071429</v>
      </c>
      <c r="X19" s="52">
        <v>0.088692</v>
      </c>
      <c r="Y19" s="52">
        <v>0.634398</v>
      </c>
      <c r="Z19" s="52">
        <v>0.5</v>
      </c>
      <c r="AA19" s="52">
        <v>0</v>
      </c>
      <c r="AB19" s="82">
        <v>19</v>
      </c>
      <c r="AC19" s="82"/>
      <c r="AD19" s="98"/>
      <c r="AE19" s="85" t="s">
        <v>398</v>
      </c>
      <c r="AF19" s="85">
        <v>4912</v>
      </c>
      <c r="AG19" s="85">
        <v>14208</v>
      </c>
      <c r="AH19" s="85">
        <v>22690</v>
      </c>
      <c r="AI19" s="85">
        <v>8762</v>
      </c>
      <c r="AJ19" s="85"/>
      <c r="AK19" s="85" t="s">
        <v>425</v>
      </c>
      <c r="AL19" s="85" t="s">
        <v>449</v>
      </c>
      <c r="AM19" s="90" t="s">
        <v>470</v>
      </c>
      <c r="AN19" s="85"/>
      <c r="AO19" s="87">
        <v>39569.951145833336</v>
      </c>
      <c r="AP19" s="90" t="s">
        <v>492</v>
      </c>
      <c r="AQ19" s="85" t="b">
        <v>0</v>
      </c>
      <c r="AR19" s="85" t="b">
        <v>0</v>
      </c>
      <c r="AS19" s="85" t="b">
        <v>1</v>
      </c>
      <c r="AT19" s="85" t="s">
        <v>353</v>
      </c>
      <c r="AU19" s="85">
        <v>755</v>
      </c>
      <c r="AV19" s="90" t="s">
        <v>509</v>
      </c>
      <c r="AW19" s="85" t="b">
        <v>0</v>
      </c>
      <c r="AX19" s="85" t="s">
        <v>521</v>
      </c>
      <c r="AY19" s="90" t="s">
        <v>538</v>
      </c>
      <c r="AZ19" s="85" t="s">
        <v>66</v>
      </c>
      <c r="BA19" s="85" t="str">
        <f>REPLACE(INDEX(GroupVertices[Group],MATCH(Vertices[[#This Row],[Vertex]],GroupVertices[Vertex],0)),1,1,"")</f>
        <v>1</v>
      </c>
      <c r="BB19" s="51"/>
      <c r="BC19" s="51"/>
      <c r="BD19" s="51"/>
      <c r="BE19" s="51"/>
      <c r="BF19" s="51"/>
      <c r="BG19" s="51"/>
      <c r="BH19" s="132" t="s">
        <v>831</v>
      </c>
      <c r="BI19" s="132" t="s">
        <v>831</v>
      </c>
      <c r="BJ19" s="132" t="s">
        <v>849</v>
      </c>
      <c r="BK19" s="132" t="s">
        <v>849</v>
      </c>
      <c r="BL19" s="132">
        <v>0</v>
      </c>
      <c r="BM19" s="135">
        <v>0</v>
      </c>
      <c r="BN19" s="132">
        <v>0</v>
      </c>
      <c r="BO19" s="135">
        <v>0</v>
      </c>
      <c r="BP19" s="132">
        <v>0</v>
      </c>
      <c r="BQ19" s="135">
        <v>0</v>
      </c>
      <c r="BR19" s="132">
        <v>20</v>
      </c>
      <c r="BS19" s="135">
        <v>100</v>
      </c>
      <c r="BT19" s="132">
        <v>20</v>
      </c>
      <c r="BU19" s="2"/>
      <c r="BV19" s="3"/>
      <c r="BW19" s="3"/>
      <c r="BX19" s="3"/>
      <c r="BY19" s="3"/>
    </row>
    <row r="20" spans="1:77" ht="41.45" customHeight="1">
      <c r="A20" s="14" t="s">
        <v>235</v>
      </c>
      <c r="C20" s="15"/>
      <c r="D20" s="15" t="s">
        <v>64</v>
      </c>
      <c r="E20" s="93">
        <v>1000</v>
      </c>
      <c r="F20" s="81">
        <v>99.96718875739289</v>
      </c>
      <c r="G20" s="112" t="s">
        <v>514</v>
      </c>
      <c r="H20" s="15"/>
      <c r="I20" s="16" t="s">
        <v>235</v>
      </c>
      <c r="J20" s="66"/>
      <c r="K20" s="66"/>
      <c r="L20" s="114" t="s">
        <v>566</v>
      </c>
      <c r="M20" s="94">
        <v>11.934893452864678</v>
      </c>
      <c r="N20" s="95">
        <v>6239.97509765625</v>
      </c>
      <c r="O20" s="95">
        <v>4823.046875</v>
      </c>
      <c r="P20" s="77"/>
      <c r="Q20" s="96"/>
      <c r="R20" s="96"/>
      <c r="S20" s="97"/>
      <c r="T20" s="51">
        <v>2</v>
      </c>
      <c r="U20" s="51">
        <v>0</v>
      </c>
      <c r="V20" s="52">
        <v>0</v>
      </c>
      <c r="W20" s="52">
        <v>0.166667</v>
      </c>
      <c r="X20" s="52">
        <v>0</v>
      </c>
      <c r="Y20" s="52">
        <v>0.850862</v>
      </c>
      <c r="Z20" s="52">
        <v>1</v>
      </c>
      <c r="AA20" s="52">
        <v>0</v>
      </c>
      <c r="AB20" s="82">
        <v>20</v>
      </c>
      <c r="AC20" s="82"/>
      <c r="AD20" s="98"/>
      <c r="AE20" s="85" t="s">
        <v>399</v>
      </c>
      <c r="AF20" s="85">
        <v>635</v>
      </c>
      <c r="AG20" s="85">
        <v>47779</v>
      </c>
      <c r="AH20" s="85">
        <v>9197</v>
      </c>
      <c r="AI20" s="85">
        <v>962</v>
      </c>
      <c r="AJ20" s="85"/>
      <c r="AK20" s="85" t="s">
        <v>426</v>
      </c>
      <c r="AL20" s="85" t="s">
        <v>450</v>
      </c>
      <c r="AM20" s="90" t="s">
        <v>471</v>
      </c>
      <c r="AN20" s="85"/>
      <c r="AO20" s="87">
        <v>40228.894282407404</v>
      </c>
      <c r="AP20" s="90" t="s">
        <v>493</v>
      </c>
      <c r="AQ20" s="85" t="b">
        <v>1</v>
      </c>
      <c r="AR20" s="85" t="b">
        <v>0</v>
      </c>
      <c r="AS20" s="85" t="b">
        <v>1</v>
      </c>
      <c r="AT20" s="85"/>
      <c r="AU20" s="85">
        <v>1427</v>
      </c>
      <c r="AV20" s="90" t="s">
        <v>503</v>
      </c>
      <c r="AW20" s="85" t="b">
        <v>0</v>
      </c>
      <c r="AX20" s="85" t="s">
        <v>521</v>
      </c>
      <c r="AY20" s="90" t="s">
        <v>539</v>
      </c>
      <c r="AZ20" s="85" t="s">
        <v>65</v>
      </c>
      <c r="BA20" s="85" t="str">
        <f>REPLACE(INDEX(GroupVertices[Group],MATCH(Vertices[[#This Row],[Vertex]],GroupVertices[Vertex],0)),1,1,"")</f>
        <v>2</v>
      </c>
      <c r="BB20" s="51"/>
      <c r="BC20" s="51"/>
      <c r="BD20" s="51"/>
      <c r="BE20" s="51"/>
      <c r="BF20" s="51"/>
      <c r="BG20" s="51"/>
      <c r="BH20" s="51"/>
      <c r="BI20" s="51"/>
      <c r="BJ20" s="51"/>
      <c r="BK20" s="51"/>
      <c r="BL20" s="51"/>
      <c r="BM20" s="52"/>
      <c r="BN20" s="51"/>
      <c r="BO20" s="52"/>
      <c r="BP20" s="51"/>
      <c r="BQ20" s="52"/>
      <c r="BR20" s="51"/>
      <c r="BS20" s="52"/>
      <c r="BT20" s="51"/>
      <c r="BU20" s="2"/>
      <c r="BV20" s="3"/>
      <c r="BW20" s="3"/>
      <c r="BX20" s="3"/>
      <c r="BY20" s="3"/>
    </row>
    <row r="21" spans="1:77" ht="41.45" customHeight="1">
      <c r="A21" s="14" t="s">
        <v>226</v>
      </c>
      <c r="C21" s="15"/>
      <c r="D21" s="15" t="s">
        <v>64</v>
      </c>
      <c r="E21" s="93">
        <v>222.2420560943424</v>
      </c>
      <c r="F21" s="81">
        <v>99.99764126883333</v>
      </c>
      <c r="G21" s="112" t="s">
        <v>293</v>
      </c>
      <c r="H21" s="15"/>
      <c r="I21" s="16" t="s">
        <v>226</v>
      </c>
      <c r="J21" s="66"/>
      <c r="K21" s="66"/>
      <c r="L21" s="114" t="s">
        <v>567</v>
      </c>
      <c r="M21" s="94">
        <v>1.7860864734762902</v>
      </c>
      <c r="N21" s="95">
        <v>6899.89453125</v>
      </c>
      <c r="O21" s="95">
        <v>2445.91015625</v>
      </c>
      <c r="P21" s="77"/>
      <c r="Q21" s="96"/>
      <c r="R21" s="96"/>
      <c r="S21" s="97"/>
      <c r="T21" s="51">
        <v>1</v>
      </c>
      <c r="U21" s="51">
        <v>2</v>
      </c>
      <c r="V21" s="52">
        <v>0</v>
      </c>
      <c r="W21" s="52">
        <v>0.166667</v>
      </c>
      <c r="X21" s="52">
        <v>0</v>
      </c>
      <c r="Y21" s="52">
        <v>0.850862</v>
      </c>
      <c r="Z21" s="52">
        <v>0.5</v>
      </c>
      <c r="AA21" s="52">
        <v>0.5</v>
      </c>
      <c r="AB21" s="82">
        <v>21</v>
      </c>
      <c r="AC21" s="82"/>
      <c r="AD21" s="98"/>
      <c r="AE21" s="85" t="s">
        <v>400</v>
      </c>
      <c r="AF21" s="85">
        <v>676</v>
      </c>
      <c r="AG21" s="85">
        <v>3470</v>
      </c>
      <c r="AH21" s="85">
        <v>10850</v>
      </c>
      <c r="AI21" s="85">
        <v>11468</v>
      </c>
      <c r="AJ21" s="85"/>
      <c r="AK21" s="85" t="s">
        <v>427</v>
      </c>
      <c r="AL21" s="85" t="s">
        <v>451</v>
      </c>
      <c r="AM21" s="90" t="s">
        <v>472</v>
      </c>
      <c r="AN21" s="85"/>
      <c r="AO21" s="87">
        <v>40150.77060185185</v>
      </c>
      <c r="AP21" s="90" t="s">
        <v>494</v>
      </c>
      <c r="AQ21" s="85" t="b">
        <v>0</v>
      </c>
      <c r="AR21" s="85" t="b">
        <v>0</v>
      </c>
      <c r="AS21" s="85" t="b">
        <v>0</v>
      </c>
      <c r="AT21" s="85" t="s">
        <v>352</v>
      </c>
      <c r="AU21" s="85">
        <v>184</v>
      </c>
      <c r="AV21" s="90" t="s">
        <v>506</v>
      </c>
      <c r="AW21" s="85" t="b">
        <v>0</v>
      </c>
      <c r="AX21" s="85" t="s">
        <v>521</v>
      </c>
      <c r="AY21" s="90" t="s">
        <v>540</v>
      </c>
      <c r="AZ21" s="85" t="s">
        <v>66</v>
      </c>
      <c r="BA21" s="85" t="str">
        <f>REPLACE(INDEX(GroupVertices[Group],MATCH(Vertices[[#This Row],[Vertex]],GroupVertices[Vertex],0)),1,1,"")</f>
        <v>2</v>
      </c>
      <c r="BB21" s="51"/>
      <c r="BC21" s="51"/>
      <c r="BD21" s="51"/>
      <c r="BE21" s="51"/>
      <c r="BF21" s="51"/>
      <c r="BG21" s="51"/>
      <c r="BH21" s="132" t="s">
        <v>833</v>
      </c>
      <c r="BI21" s="132" t="s">
        <v>833</v>
      </c>
      <c r="BJ21" s="132" t="s">
        <v>851</v>
      </c>
      <c r="BK21" s="132" t="s">
        <v>851</v>
      </c>
      <c r="BL21" s="132">
        <v>1</v>
      </c>
      <c r="BM21" s="135">
        <v>6.666666666666667</v>
      </c>
      <c r="BN21" s="132">
        <v>0</v>
      </c>
      <c r="BO21" s="135">
        <v>0</v>
      </c>
      <c r="BP21" s="132">
        <v>0</v>
      </c>
      <c r="BQ21" s="135">
        <v>0</v>
      </c>
      <c r="BR21" s="132">
        <v>14</v>
      </c>
      <c r="BS21" s="135">
        <v>93.33333333333333</v>
      </c>
      <c r="BT21" s="132">
        <v>15</v>
      </c>
      <c r="BU21" s="2"/>
      <c r="BV21" s="3"/>
      <c r="BW21" s="3"/>
      <c r="BX21" s="3"/>
      <c r="BY21" s="3"/>
    </row>
    <row r="22" spans="1:77" ht="41.45" customHeight="1">
      <c r="A22" s="14" t="s">
        <v>227</v>
      </c>
      <c r="C22" s="15"/>
      <c r="D22" s="15" t="s">
        <v>64</v>
      </c>
      <c r="E22" s="93">
        <v>174.74351186611088</v>
      </c>
      <c r="F22" s="81">
        <v>99.99950103763783</v>
      </c>
      <c r="G22" s="112" t="s">
        <v>294</v>
      </c>
      <c r="H22" s="15"/>
      <c r="I22" s="16" t="s">
        <v>227</v>
      </c>
      <c r="J22" s="66"/>
      <c r="K22" s="66"/>
      <c r="L22" s="114" t="s">
        <v>568</v>
      </c>
      <c r="M22" s="94">
        <v>1.166287523235369</v>
      </c>
      <c r="N22" s="95">
        <v>7772.12744140625</v>
      </c>
      <c r="O22" s="95">
        <v>8828.529296875</v>
      </c>
      <c r="P22" s="77"/>
      <c r="Q22" s="96"/>
      <c r="R22" s="96"/>
      <c r="S22" s="97"/>
      <c r="T22" s="51">
        <v>0</v>
      </c>
      <c r="U22" s="51">
        <v>2</v>
      </c>
      <c r="V22" s="52">
        <v>2</v>
      </c>
      <c r="W22" s="52">
        <v>0.5</v>
      </c>
      <c r="X22" s="52">
        <v>0</v>
      </c>
      <c r="Y22" s="52">
        <v>1.459432</v>
      </c>
      <c r="Z22" s="52">
        <v>0</v>
      </c>
      <c r="AA22" s="52">
        <v>0</v>
      </c>
      <c r="AB22" s="82">
        <v>22</v>
      </c>
      <c r="AC22" s="82"/>
      <c r="AD22" s="98"/>
      <c r="AE22" s="85" t="s">
        <v>401</v>
      </c>
      <c r="AF22" s="85">
        <v>916</v>
      </c>
      <c r="AG22" s="85">
        <v>764</v>
      </c>
      <c r="AH22" s="85">
        <v>16795</v>
      </c>
      <c r="AI22" s="85">
        <v>2242</v>
      </c>
      <c r="AJ22" s="85"/>
      <c r="AK22" s="85" t="s">
        <v>428</v>
      </c>
      <c r="AL22" s="85" t="s">
        <v>452</v>
      </c>
      <c r="AM22" s="90" t="s">
        <v>473</v>
      </c>
      <c r="AN22" s="85"/>
      <c r="AO22" s="87">
        <v>39765.74150462963</v>
      </c>
      <c r="AP22" s="90" t="s">
        <v>495</v>
      </c>
      <c r="AQ22" s="85" t="b">
        <v>0</v>
      </c>
      <c r="AR22" s="85" t="b">
        <v>0</v>
      </c>
      <c r="AS22" s="85" t="b">
        <v>1</v>
      </c>
      <c r="AT22" s="85" t="s">
        <v>352</v>
      </c>
      <c r="AU22" s="85">
        <v>115</v>
      </c>
      <c r="AV22" s="90" t="s">
        <v>503</v>
      </c>
      <c r="AW22" s="85" t="b">
        <v>0</v>
      </c>
      <c r="AX22" s="85" t="s">
        <v>521</v>
      </c>
      <c r="AY22" s="90" t="s">
        <v>541</v>
      </c>
      <c r="AZ22" s="85" t="s">
        <v>66</v>
      </c>
      <c r="BA22" s="85" t="str">
        <f>REPLACE(INDEX(GroupVertices[Group],MATCH(Vertices[[#This Row],[Vertex]],GroupVertices[Vertex],0)),1,1,"")</f>
        <v>5</v>
      </c>
      <c r="BB22" s="51" t="s">
        <v>260</v>
      </c>
      <c r="BC22" s="51" t="s">
        <v>260</v>
      </c>
      <c r="BD22" s="51" t="s">
        <v>265</v>
      </c>
      <c r="BE22" s="51" t="s">
        <v>265</v>
      </c>
      <c r="BF22" s="51" t="s">
        <v>271</v>
      </c>
      <c r="BG22" s="51" t="s">
        <v>271</v>
      </c>
      <c r="BH22" s="132" t="s">
        <v>834</v>
      </c>
      <c r="BI22" s="132" t="s">
        <v>834</v>
      </c>
      <c r="BJ22" s="132" t="s">
        <v>852</v>
      </c>
      <c r="BK22" s="132" t="s">
        <v>852</v>
      </c>
      <c r="BL22" s="132">
        <v>1</v>
      </c>
      <c r="BM22" s="135">
        <v>3.5714285714285716</v>
      </c>
      <c r="BN22" s="132">
        <v>1</v>
      </c>
      <c r="BO22" s="135">
        <v>3.5714285714285716</v>
      </c>
      <c r="BP22" s="132">
        <v>0</v>
      </c>
      <c r="BQ22" s="135">
        <v>0</v>
      </c>
      <c r="BR22" s="132">
        <v>26</v>
      </c>
      <c r="BS22" s="135">
        <v>92.85714285714286</v>
      </c>
      <c r="BT22" s="132">
        <v>28</v>
      </c>
      <c r="BU22" s="2"/>
      <c r="BV22" s="3"/>
      <c r="BW22" s="3"/>
      <c r="BX22" s="3"/>
      <c r="BY22" s="3"/>
    </row>
    <row r="23" spans="1:77" ht="41.45" customHeight="1">
      <c r="A23" s="14" t="s">
        <v>236</v>
      </c>
      <c r="C23" s="15"/>
      <c r="D23" s="15" t="s">
        <v>64</v>
      </c>
      <c r="E23" s="93">
        <v>1000</v>
      </c>
      <c r="F23" s="81">
        <v>70</v>
      </c>
      <c r="G23" s="112" t="s">
        <v>515</v>
      </c>
      <c r="H23" s="15"/>
      <c r="I23" s="16" t="s">
        <v>236</v>
      </c>
      <c r="J23" s="66"/>
      <c r="K23" s="66"/>
      <c r="L23" s="114" t="s">
        <v>569</v>
      </c>
      <c r="M23" s="94">
        <v>9999</v>
      </c>
      <c r="N23" s="95">
        <v>7772.12744140625</v>
      </c>
      <c r="O23" s="95">
        <v>7193.3984375</v>
      </c>
      <c r="P23" s="77"/>
      <c r="Q23" s="96"/>
      <c r="R23" s="96"/>
      <c r="S23" s="97"/>
      <c r="T23" s="51">
        <v>1</v>
      </c>
      <c r="U23" s="51">
        <v>0</v>
      </c>
      <c r="V23" s="52">
        <v>0</v>
      </c>
      <c r="W23" s="52">
        <v>0.333333</v>
      </c>
      <c r="X23" s="52">
        <v>0</v>
      </c>
      <c r="Y23" s="52">
        <v>0.770257</v>
      </c>
      <c r="Z23" s="52">
        <v>0</v>
      </c>
      <c r="AA23" s="52">
        <v>0</v>
      </c>
      <c r="AB23" s="82">
        <v>23</v>
      </c>
      <c r="AC23" s="82"/>
      <c r="AD23" s="98"/>
      <c r="AE23" s="85" t="s">
        <v>402</v>
      </c>
      <c r="AF23" s="85">
        <v>898</v>
      </c>
      <c r="AG23" s="85">
        <v>43650625</v>
      </c>
      <c r="AH23" s="85">
        <v>364043</v>
      </c>
      <c r="AI23" s="85">
        <v>18254</v>
      </c>
      <c r="AJ23" s="85"/>
      <c r="AK23" s="85" t="s">
        <v>429</v>
      </c>
      <c r="AL23" s="85" t="s">
        <v>453</v>
      </c>
      <c r="AM23" s="90" t="s">
        <v>474</v>
      </c>
      <c r="AN23" s="85"/>
      <c r="AO23" s="87">
        <v>39143.862291666665</v>
      </c>
      <c r="AP23" s="90" t="s">
        <v>496</v>
      </c>
      <c r="AQ23" s="85" t="b">
        <v>0</v>
      </c>
      <c r="AR23" s="85" t="b">
        <v>0</v>
      </c>
      <c r="AS23" s="85" t="b">
        <v>0</v>
      </c>
      <c r="AT23" s="85"/>
      <c r="AU23" s="85">
        <v>199912</v>
      </c>
      <c r="AV23" s="90" t="s">
        <v>507</v>
      </c>
      <c r="AW23" s="85" t="b">
        <v>1</v>
      </c>
      <c r="AX23" s="85" t="s">
        <v>521</v>
      </c>
      <c r="AY23" s="90" t="s">
        <v>542</v>
      </c>
      <c r="AZ23" s="85" t="s">
        <v>65</v>
      </c>
      <c r="BA23" s="85" t="str">
        <f>REPLACE(INDEX(GroupVertices[Group],MATCH(Vertices[[#This Row],[Vertex]],GroupVertices[Vertex],0)),1,1,"")</f>
        <v>5</v>
      </c>
      <c r="BB23" s="51"/>
      <c r="BC23" s="51"/>
      <c r="BD23" s="51"/>
      <c r="BE23" s="51"/>
      <c r="BF23" s="51"/>
      <c r="BG23" s="51"/>
      <c r="BH23" s="51"/>
      <c r="BI23" s="51"/>
      <c r="BJ23" s="51"/>
      <c r="BK23" s="51"/>
      <c r="BL23" s="51"/>
      <c r="BM23" s="52"/>
      <c r="BN23" s="51"/>
      <c r="BO23" s="52"/>
      <c r="BP23" s="51"/>
      <c r="BQ23" s="52"/>
      <c r="BR23" s="51"/>
      <c r="BS23" s="52"/>
      <c r="BT23" s="51"/>
      <c r="BU23" s="2"/>
      <c r="BV23" s="3"/>
      <c r="BW23" s="3"/>
      <c r="BX23" s="3"/>
      <c r="BY23" s="3"/>
    </row>
    <row r="24" spans="1:77" ht="41.45" customHeight="1">
      <c r="A24" s="14" t="s">
        <v>237</v>
      </c>
      <c r="C24" s="15"/>
      <c r="D24" s="15" t="s">
        <v>64</v>
      </c>
      <c r="E24" s="93">
        <v>235.17865147357617</v>
      </c>
      <c r="F24" s="81">
        <v>99.99713474643536</v>
      </c>
      <c r="G24" s="112" t="s">
        <v>516</v>
      </c>
      <c r="H24" s="15"/>
      <c r="I24" s="16" t="s">
        <v>237</v>
      </c>
      <c r="J24" s="66"/>
      <c r="K24" s="66"/>
      <c r="L24" s="114" t="s">
        <v>570</v>
      </c>
      <c r="M24" s="94">
        <v>1.954893504639468</v>
      </c>
      <c r="N24" s="95">
        <v>9126.767578125</v>
      </c>
      <c r="O24" s="95">
        <v>8828.529296875</v>
      </c>
      <c r="P24" s="77"/>
      <c r="Q24" s="96"/>
      <c r="R24" s="96"/>
      <c r="S24" s="97"/>
      <c r="T24" s="51">
        <v>1</v>
      </c>
      <c r="U24" s="51">
        <v>0</v>
      </c>
      <c r="V24" s="52">
        <v>0</v>
      </c>
      <c r="W24" s="52">
        <v>0.333333</v>
      </c>
      <c r="X24" s="52">
        <v>0</v>
      </c>
      <c r="Y24" s="52">
        <v>0.770257</v>
      </c>
      <c r="Z24" s="52">
        <v>0</v>
      </c>
      <c r="AA24" s="52">
        <v>0</v>
      </c>
      <c r="AB24" s="82">
        <v>24</v>
      </c>
      <c r="AC24" s="82"/>
      <c r="AD24" s="98"/>
      <c r="AE24" s="85" t="s">
        <v>403</v>
      </c>
      <c r="AF24" s="85">
        <v>209</v>
      </c>
      <c r="AG24" s="85">
        <v>4207</v>
      </c>
      <c r="AH24" s="85">
        <v>11540</v>
      </c>
      <c r="AI24" s="85">
        <v>921</v>
      </c>
      <c r="AJ24" s="85"/>
      <c r="AK24" s="85" t="s">
        <v>430</v>
      </c>
      <c r="AL24" s="85" t="s">
        <v>454</v>
      </c>
      <c r="AM24" s="90" t="s">
        <v>475</v>
      </c>
      <c r="AN24" s="85"/>
      <c r="AO24" s="87">
        <v>41305.713900462964</v>
      </c>
      <c r="AP24" s="90" t="s">
        <v>497</v>
      </c>
      <c r="AQ24" s="85" t="b">
        <v>1</v>
      </c>
      <c r="AR24" s="85" t="b">
        <v>0</v>
      </c>
      <c r="AS24" s="85" t="b">
        <v>0</v>
      </c>
      <c r="AT24" s="85"/>
      <c r="AU24" s="85">
        <v>146</v>
      </c>
      <c r="AV24" s="90" t="s">
        <v>503</v>
      </c>
      <c r="AW24" s="85" t="b">
        <v>1</v>
      </c>
      <c r="AX24" s="85" t="s">
        <v>521</v>
      </c>
      <c r="AY24" s="90" t="s">
        <v>543</v>
      </c>
      <c r="AZ24" s="85" t="s">
        <v>65</v>
      </c>
      <c r="BA24" s="85" t="str">
        <f>REPLACE(INDEX(GroupVertices[Group],MATCH(Vertices[[#This Row],[Vertex]],GroupVertices[Vertex],0)),1,1,"")</f>
        <v>5</v>
      </c>
      <c r="BB24" s="51"/>
      <c r="BC24" s="51"/>
      <c r="BD24" s="51"/>
      <c r="BE24" s="51"/>
      <c r="BF24" s="51"/>
      <c r="BG24" s="51"/>
      <c r="BH24" s="51"/>
      <c r="BI24" s="51"/>
      <c r="BJ24" s="51"/>
      <c r="BK24" s="51"/>
      <c r="BL24" s="51"/>
      <c r="BM24" s="52"/>
      <c r="BN24" s="51"/>
      <c r="BO24" s="52"/>
      <c r="BP24" s="51"/>
      <c r="BQ24" s="52"/>
      <c r="BR24" s="51"/>
      <c r="BS24" s="52"/>
      <c r="BT24" s="51"/>
      <c r="BU24" s="2"/>
      <c r="BV24" s="3"/>
      <c r="BW24" s="3"/>
      <c r="BX24" s="3"/>
      <c r="BY24" s="3"/>
    </row>
    <row r="25" spans="1:77" ht="41.45" customHeight="1">
      <c r="A25" s="14" t="s">
        <v>228</v>
      </c>
      <c r="C25" s="15"/>
      <c r="D25" s="15" t="s">
        <v>64</v>
      </c>
      <c r="E25" s="93">
        <v>195.29812949037515</v>
      </c>
      <c r="F25" s="81">
        <v>99.99869623746412</v>
      </c>
      <c r="G25" s="112" t="s">
        <v>517</v>
      </c>
      <c r="H25" s="15"/>
      <c r="I25" s="16" t="s">
        <v>228</v>
      </c>
      <c r="J25" s="66"/>
      <c r="K25" s="66"/>
      <c r="L25" s="114" t="s">
        <v>571</v>
      </c>
      <c r="M25" s="94">
        <v>1.4345005944593598</v>
      </c>
      <c r="N25" s="95">
        <v>9126.767578125</v>
      </c>
      <c r="O25" s="95">
        <v>1382.2147216796875</v>
      </c>
      <c r="P25" s="77"/>
      <c r="Q25" s="96"/>
      <c r="R25" s="96"/>
      <c r="S25" s="97"/>
      <c r="T25" s="51">
        <v>1</v>
      </c>
      <c r="U25" s="51">
        <v>1</v>
      </c>
      <c r="V25" s="52">
        <v>0</v>
      </c>
      <c r="W25" s="52">
        <v>0</v>
      </c>
      <c r="X25" s="52">
        <v>0</v>
      </c>
      <c r="Y25" s="52">
        <v>0.999982</v>
      </c>
      <c r="Z25" s="52">
        <v>0</v>
      </c>
      <c r="AA25" s="52" t="s">
        <v>899</v>
      </c>
      <c r="AB25" s="82">
        <v>25</v>
      </c>
      <c r="AC25" s="82"/>
      <c r="AD25" s="98"/>
      <c r="AE25" s="85" t="s">
        <v>404</v>
      </c>
      <c r="AF25" s="85">
        <v>511</v>
      </c>
      <c r="AG25" s="85">
        <v>1935</v>
      </c>
      <c r="AH25" s="85">
        <v>2053</v>
      </c>
      <c r="AI25" s="85">
        <v>1401</v>
      </c>
      <c r="AJ25" s="85"/>
      <c r="AK25" s="85" t="s">
        <v>431</v>
      </c>
      <c r="AL25" s="85" t="s">
        <v>455</v>
      </c>
      <c r="AM25" s="90" t="s">
        <v>476</v>
      </c>
      <c r="AN25" s="85"/>
      <c r="AO25" s="87">
        <v>40782.69498842592</v>
      </c>
      <c r="AP25" s="90" t="s">
        <v>498</v>
      </c>
      <c r="AQ25" s="85" t="b">
        <v>0</v>
      </c>
      <c r="AR25" s="85" t="b">
        <v>0</v>
      </c>
      <c r="AS25" s="85" t="b">
        <v>1</v>
      </c>
      <c r="AT25" s="85" t="s">
        <v>352</v>
      </c>
      <c r="AU25" s="85">
        <v>50</v>
      </c>
      <c r="AV25" s="90" t="s">
        <v>507</v>
      </c>
      <c r="AW25" s="85" t="b">
        <v>0</v>
      </c>
      <c r="AX25" s="85" t="s">
        <v>521</v>
      </c>
      <c r="AY25" s="90" t="s">
        <v>544</v>
      </c>
      <c r="AZ25" s="85" t="s">
        <v>66</v>
      </c>
      <c r="BA25" s="85" t="str">
        <f>REPLACE(INDEX(GroupVertices[Group],MATCH(Vertices[[#This Row],[Vertex]],GroupVertices[Vertex],0)),1,1,"")</f>
        <v>6</v>
      </c>
      <c r="BB25" s="51" t="s">
        <v>261</v>
      </c>
      <c r="BC25" s="51" t="s">
        <v>261</v>
      </c>
      <c r="BD25" s="51" t="s">
        <v>266</v>
      </c>
      <c r="BE25" s="51" t="s">
        <v>266</v>
      </c>
      <c r="BF25" s="51" t="s">
        <v>269</v>
      </c>
      <c r="BG25" s="51" t="s">
        <v>269</v>
      </c>
      <c r="BH25" s="132" t="s">
        <v>835</v>
      </c>
      <c r="BI25" s="132" t="s">
        <v>841</v>
      </c>
      <c r="BJ25" s="132" t="s">
        <v>853</v>
      </c>
      <c r="BK25" s="132" t="s">
        <v>858</v>
      </c>
      <c r="BL25" s="132">
        <v>2</v>
      </c>
      <c r="BM25" s="135">
        <v>3.3333333333333335</v>
      </c>
      <c r="BN25" s="132">
        <v>1</v>
      </c>
      <c r="BO25" s="135">
        <v>1.6666666666666667</v>
      </c>
      <c r="BP25" s="132">
        <v>0</v>
      </c>
      <c r="BQ25" s="135">
        <v>0</v>
      </c>
      <c r="BR25" s="132">
        <v>57</v>
      </c>
      <c r="BS25" s="135">
        <v>95</v>
      </c>
      <c r="BT25" s="132">
        <v>60</v>
      </c>
      <c r="BU25" s="2"/>
      <c r="BV25" s="3"/>
      <c r="BW25" s="3"/>
      <c r="BX25" s="3"/>
      <c r="BY25" s="3"/>
    </row>
    <row r="26" spans="1:77" ht="41.45" customHeight="1">
      <c r="A26" s="14" t="s">
        <v>229</v>
      </c>
      <c r="C26" s="15"/>
      <c r="D26" s="15" t="s">
        <v>64</v>
      </c>
      <c r="E26" s="93">
        <v>186.74979577302528</v>
      </c>
      <c r="F26" s="81">
        <v>99.99903094086685</v>
      </c>
      <c r="G26" s="112" t="s">
        <v>295</v>
      </c>
      <c r="H26" s="15"/>
      <c r="I26" s="16" t="s">
        <v>229</v>
      </c>
      <c r="J26" s="66"/>
      <c r="K26" s="66"/>
      <c r="L26" s="114" t="s">
        <v>572</v>
      </c>
      <c r="M26" s="94">
        <v>1.3229551071100143</v>
      </c>
      <c r="N26" s="95">
        <v>7772.12744140625</v>
      </c>
      <c r="O26" s="95">
        <v>1382.2147216796875</v>
      </c>
      <c r="P26" s="77"/>
      <c r="Q26" s="96"/>
      <c r="R26" s="96"/>
      <c r="S26" s="97"/>
      <c r="T26" s="51">
        <v>1</v>
      </c>
      <c r="U26" s="51">
        <v>1</v>
      </c>
      <c r="V26" s="52">
        <v>0</v>
      </c>
      <c r="W26" s="52">
        <v>0</v>
      </c>
      <c r="X26" s="52">
        <v>0</v>
      </c>
      <c r="Y26" s="52">
        <v>0.999982</v>
      </c>
      <c r="Z26" s="52">
        <v>0</v>
      </c>
      <c r="AA26" s="52" t="s">
        <v>899</v>
      </c>
      <c r="AB26" s="82">
        <v>26</v>
      </c>
      <c r="AC26" s="82"/>
      <c r="AD26" s="98"/>
      <c r="AE26" s="85" t="s">
        <v>405</v>
      </c>
      <c r="AF26" s="85">
        <v>695</v>
      </c>
      <c r="AG26" s="85">
        <v>1448</v>
      </c>
      <c r="AH26" s="85">
        <v>6634</v>
      </c>
      <c r="AI26" s="85">
        <v>1227</v>
      </c>
      <c r="AJ26" s="85"/>
      <c r="AK26" s="85" t="s">
        <v>432</v>
      </c>
      <c r="AL26" s="85" t="s">
        <v>456</v>
      </c>
      <c r="AM26" s="90" t="s">
        <v>477</v>
      </c>
      <c r="AN26" s="85"/>
      <c r="AO26" s="87">
        <v>40211.286261574074</v>
      </c>
      <c r="AP26" s="90" t="s">
        <v>499</v>
      </c>
      <c r="AQ26" s="85" t="b">
        <v>0</v>
      </c>
      <c r="AR26" s="85" t="b">
        <v>0</v>
      </c>
      <c r="AS26" s="85" t="b">
        <v>0</v>
      </c>
      <c r="AT26" s="85" t="s">
        <v>352</v>
      </c>
      <c r="AU26" s="85">
        <v>111</v>
      </c>
      <c r="AV26" s="90" t="s">
        <v>503</v>
      </c>
      <c r="AW26" s="85" t="b">
        <v>0</v>
      </c>
      <c r="AX26" s="85" t="s">
        <v>521</v>
      </c>
      <c r="AY26" s="90" t="s">
        <v>545</v>
      </c>
      <c r="AZ26" s="85" t="s">
        <v>66</v>
      </c>
      <c r="BA26" s="85" t="str">
        <f>REPLACE(INDEX(GroupVertices[Group],MATCH(Vertices[[#This Row],[Vertex]],GroupVertices[Vertex],0)),1,1,"")</f>
        <v>6</v>
      </c>
      <c r="BB26" s="51" t="s">
        <v>818</v>
      </c>
      <c r="BC26" s="51" t="s">
        <v>818</v>
      </c>
      <c r="BD26" s="51" t="s">
        <v>821</v>
      </c>
      <c r="BE26" s="51" t="s">
        <v>821</v>
      </c>
      <c r="BF26" s="51"/>
      <c r="BG26" s="51"/>
      <c r="BH26" s="132" t="s">
        <v>836</v>
      </c>
      <c r="BI26" s="132" t="s">
        <v>842</v>
      </c>
      <c r="BJ26" s="132" t="s">
        <v>854</v>
      </c>
      <c r="BK26" s="132" t="s">
        <v>854</v>
      </c>
      <c r="BL26" s="132">
        <v>0</v>
      </c>
      <c r="BM26" s="135">
        <v>0</v>
      </c>
      <c r="BN26" s="132">
        <v>0</v>
      </c>
      <c r="BO26" s="135">
        <v>0</v>
      </c>
      <c r="BP26" s="132">
        <v>0</v>
      </c>
      <c r="BQ26" s="135">
        <v>0</v>
      </c>
      <c r="BR26" s="132">
        <v>23</v>
      </c>
      <c r="BS26" s="135">
        <v>100</v>
      </c>
      <c r="BT26" s="132">
        <v>23</v>
      </c>
      <c r="BU26" s="2"/>
      <c r="BV26" s="3"/>
      <c r="BW26" s="3"/>
      <c r="BX26" s="3"/>
      <c r="BY26" s="3"/>
    </row>
    <row r="27" spans="1:77" ht="41.45" customHeight="1">
      <c r="A27" s="14" t="s">
        <v>230</v>
      </c>
      <c r="C27" s="15"/>
      <c r="D27" s="15" t="s">
        <v>64</v>
      </c>
      <c r="E27" s="93">
        <v>162</v>
      </c>
      <c r="F27" s="81">
        <v>100</v>
      </c>
      <c r="G27" s="112" t="s">
        <v>518</v>
      </c>
      <c r="H27" s="15"/>
      <c r="I27" s="16" t="s">
        <v>230</v>
      </c>
      <c r="J27" s="66"/>
      <c r="K27" s="66"/>
      <c r="L27" s="114" t="s">
        <v>573</v>
      </c>
      <c r="M27" s="94">
        <v>1</v>
      </c>
      <c r="N27" s="95">
        <v>7772.12744140625</v>
      </c>
      <c r="O27" s="95">
        <v>5208.30224609375</v>
      </c>
      <c r="P27" s="77"/>
      <c r="Q27" s="96"/>
      <c r="R27" s="96"/>
      <c r="S27" s="97"/>
      <c r="T27" s="51">
        <v>2</v>
      </c>
      <c r="U27" s="51">
        <v>2</v>
      </c>
      <c r="V27" s="52">
        <v>0</v>
      </c>
      <c r="W27" s="52">
        <v>0.5</v>
      </c>
      <c r="X27" s="52">
        <v>0</v>
      </c>
      <c r="Y27" s="52">
        <v>1.248152</v>
      </c>
      <c r="Z27" s="52">
        <v>0.5</v>
      </c>
      <c r="AA27" s="52">
        <v>0</v>
      </c>
      <c r="AB27" s="82">
        <v>27</v>
      </c>
      <c r="AC27" s="82"/>
      <c r="AD27" s="98"/>
      <c r="AE27" s="85" t="s">
        <v>406</v>
      </c>
      <c r="AF27" s="85">
        <v>209</v>
      </c>
      <c r="AG27" s="85">
        <v>38</v>
      </c>
      <c r="AH27" s="85">
        <v>54</v>
      </c>
      <c r="AI27" s="85">
        <v>27</v>
      </c>
      <c r="AJ27" s="85"/>
      <c r="AK27" s="85" t="s">
        <v>433</v>
      </c>
      <c r="AL27" s="85" t="s">
        <v>457</v>
      </c>
      <c r="AM27" s="90" t="s">
        <v>478</v>
      </c>
      <c r="AN27" s="85"/>
      <c r="AO27" s="87">
        <v>41076.39644675926</v>
      </c>
      <c r="AP27" s="90" t="s">
        <v>500</v>
      </c>
      <c r="AQ27" s="85" t="b">
        <v>1</v>
      </c>
      <c r="AR27" s="85" t="b">
        <v>0</v>
      </c>
      <c r="AS27" s="85" t="b">
        <v>1</v>
      </c>
      <c r="AT27" s="85" t="s">
        <v>352</v>
      </c>
      <c r="AU27" s="85">
        <v>1</v>
      </c>
      <c r="AV27" s="90" t="s">
        <v>503</v>
      </c>
      <c r="AW27" s="85" t="b">
        <v>0</v>
      </c>
      <c r="AX27" s="85" t="s">
        <v>521</v>
      </c>
      <c r="AY27" s="90" t="s">
        <v>546</v>
      </c>
      <c r="AZ27" s="85" t="s">
        <v>66</v>
      </c>
      <c r="BA27" s="85" t="str">
        <f>REPLACE(INDEX(GroupVertices[Group],MATCH(Vertices[[#This Row],[Vertex]],GroupVertices[Vertex],0)),1,1,"")</f>
        <v>4</v>
      </c>
      <c r="BB27" s="51"/>
      <c r="BC27" s="51"/>
      <c r="BD27" s="51"/>
      <c r="BE27" s="51"/>
      <c r="BF27" s="51" t="s">
        <v>272</v>
      </c>
      <c r="BG27" s="51" t="s">
        <v>825</v>
      </c>
      <c r="BH27" s="132" t="s">
        <v>837</v>
      </c>
      <c r="BI27" s="132" t="s">
        <v>843</v>
      </c>
      <c r="BJ27" s="132" t="s">
        <v>855</v>
      </c>
      <c r="BK27" s="132" t="s">
        <v>859</v>
      </c>
      <c r="BL27" s="132">
        <v>0</v>
      </c>
      <c r="BM27" s="135">
        <v>0</v>
      </c>
      <c r="BN27" s="132">
        <v>0</v>
      </c>
      <c r="BO27" s="135">
        <v>0</v>
      </c>
      <c r="BP27" s="132">
        <v>0</v>
      </c>
      <c r="BQ27" s="135">
        <v>0</v>
      </c>
      <c r="BR27" s="132">
        <v>26</v>
      </c>
      <c r="BS27" s="135">
        <v>100</v>
      </c>
      <c r="BT27" s="132">
        <v>26</v>
      </c>
      <c r="BU27" s="2"/>
      <c r="BV27" s="3"/>
      <c r="BW27" s="3"/>
      <c r="BX27" s="3"/>
      <c r="BY27" s="3"/>
    </row>
    <row r="28" spans="1:77" ht="41.45" customHeight="1">
      <c r="A28" s="14" t="s">
        <v>238</v>
      </c>
      <c r="C28" s="15"/>
      <c r="D28" s="15" t="s">
        <v>64</v>
      </c>
      <c r="E28" s="93">
        <v>164.12391864435182</v>
      </c>
      <c r="F28" s="81">
        <v>99.9999168396063</v>
      </c>
      <c r="G28" s="112" t="s">
        <v>519</v>
      </c>
      <c r="H28" s="15"/>
      <c r="I28" s="16" t="s">
        <v>238</v>
      </c>
      <c r="J28" s="66"/>
      <c r="K28" s="66"/>
      <c r="L28" s="114" t="s">
        <v>574</v>
      </c>
      <c r="M28" s="94">
        <v>1.0277145872058948</v>
      </c>
      <c r="N28" s="95">
        <v>9126.767578125</v>
      </c>
      <c r="O28" s="95">
        <v>5208.30224609375</v>
      </c>
      <c r="P28" s="77"/>
      <c r="Q28" s="96"/>
      <c r="R28" s="96"/>
      <c r="S28" s="97"/>
      <c r="T28" s="51">
        <v>2</v>
      </c>
      <c r="U28" s="51">
        <v>0</v>
      </c>
      <c r="V28" s="52">
        <v>0</v>
      </c>
      <c r="W28" s="52">
        <v>0.5</v>
      </c>
      <c r="X28" s="52">
        <v>0</v>
      </c>
      <c r="Y28" s="52">
        <v>0.875897</v>
      </c>
      <c r="Z28" s="52">
        <v>0.5</v>
      </c>
      <c r="AA28" s="52">
        <v>0</v>
      </c>
      <c r="AB28" s="82">
        <v>28</v>
      </c>
      <c r="AC28" s="82"/>
      <c r="AD28" s="98"/>
      <c r="AE28" s="85" t="s">
        <v>407</v>
      </c>
      <c r="AF28" s="85">
        <v>407</v>
      </c>
      <c r="AG28" s="85">
        <v>159</v>
      </c>
      <c r="AH28" s="85">
        <v>152</v>
      </c>
      <c r="AI28" s="85">
        <v>125</v>
      </c>
      <c r="AJ28" s="85"/>
      <c r="AK28" s="85" t="s">
        <v>434</v>
      </c>
      <c r="AL28" s="85"/>
      <c r="AM28" s="90" t="s">
        <v>479</v>
      </c>
      <c r="AN28" s="85"/>
      <c r="AO28" s="87">
        <v>42592.55923611111</v>
      </c>
      <c r="AP28" s="90" t="s">
        <v>501</v>
      </c>
      <c r="AQ28" s="85" t="b">
        <v>1</v>
      </c>
      <c r="AR28" s="85" t="b">
        <v>0</v>
      </c>
      <c r="AS28" s="85" t="b">
        <v>0</v>
      </c>
      <c r="AT28" s="85"/>
      <c r="AU28" s="85">
        <v>7</v>
      </c>
      <c r="AV28" s="85"/>
      <c r="AW28" s="85" t="b">
        <v>0</v>
      </c>
      <c r="AX28" s="85" t="s">
        <v>521</v>
      </c>
      <c r="AY28" s="90" t="s">
        <v>547</v>
      </c>
      <c r="AZ28" s="85" t="s">
        <v>65</v>
      </c>
      <c r="BA28" s="85" t="str">
        <f>REPLACE(INDEX(GroupVertices[Group],MATCH(Vertices[[#This Row],[Vertex]],GroupVertices[Vertex],0)),1,1,"")</f>
        <v>4</v>
      </c>
      <c r="BB28" s="51"/>
      <c r="BC28" s="51"/>
      <c r="BD28" s="51"/>
      <c r="BE28" s="51"/>
      <c r="BF28" s="51"/>
      <c r="BG28" s="51"/>
      <c r="BH28" s="51"/>
      <c r="BI28" s="51"/>
      <c r="BJ28" s="51"/>
      <c r="BK28" s="51"/>
      <c r="BL28" s="51"/>
      <c r="BM28" s="52"/>
      <c r="BN28" s="51"/>
      <c r="BO28" s="52"/>
      <c r="BP28" s="51"/>
      <c r="BQ28" s="52"/>
      <c r="BR28" s="51"/>
      <c r="BS28" s="52"/>
      <c r="BT28" s="51"/>
      <c r="BU28" s="2"/>
      <c r="BV28" s="3"/>
      <c r="BW28" s="3"/>
      <c r="BX28" s="3"/>
      <c r="BY28" s="3"/>
    </row>
    <row r="29" spans="1:77" ht="41.45" customHeight="1">
      <c r="A29" s="99" t="s">
        <v>231</v>
      </c>
      <c r="C29" s="100"/>
      <c r="D29" s="100" t="s">
        <v>64</v>
      </c>
      <c r="E29" s="101">
        <v>324.75184851595066</v>
      </c>
      <c r="F29" s="102">
        <v>99.99362757710452</v>
      </c>
      <c r="G29" s="113" t="s">
        <v>520</v>
      </c>
      <c r="H29" s="100"/>
      <c r="I29" s="103" t="s">
        <v>231</v>
      </c>
      <c r="J29" s="104"/>
      <c r="K29" s="104"/>
      <c r="L29" s="115" t="s">
        <v>575</v>
      </c>
      <c r="M29" s="105">
        <v>3.1237161369674133</v>
      </c>
      <c r="N29" s="106">
        <v>7772.12744140625</v>
      </c>
      <c r="O29" s="106">
        <v>3579.0537109375</v>
      </c>
      <c r="P29" s="107"/>
      <c r="Q29" s="108"/>
      <c r="R29" s="108"/>
      <c r="S29" s="109"/>
      <c r="T29" s="51">
        <v>0</v>
      </c>
      <c r="U29" s="51">
        <v>2</v>
      </c>
      <c r="V29" s="52">
        <v>0</v>
      </c>
      <c r="W29" s="52">
        <v>0.5</v>
      </c>
      <c r="X29" s="52">
        <v>0</v>
      </c>
      <c r="Y29" s="52">
        <v>0.875897</v>
      </c>
      <c r="Z29" s="52">
        <v>0.5</v>
      </c>
      <c r="AA29" s="52">
        <v>0</v>
      </c>
      <c r="AB29" s="110">
        <v>29</v>
      </c>
      <c r="AC29" s="110"/>
      <c r="AD29" s="111"/>
      <c r="AE29" s="85" t="s">
        <v>408</v>
      </c>
      <c r="AF29" s="85">
        <v>334</v>
      </c>
      <c r="AG29" s="85">
        <v>9310</v>
      </c>
      <c r="AH29" s="85">
        <v>6565</v>
      </c>
      <c r="AI29" s="85">
        <v>1010</v>
      </c>
      <c r="AJ29" s="85"/>
      <c r="AK29" s="85" t="s">
        <v>435</v>
      </c>
      <c r="AL29" s="85"/>
      <c r="AM29" s="90" t="s">
        <v>480</v>
      </c>
      <c r="AN29" s="85"/>
      <c r="AO29" s="87">
        <v>39931.374398148146</v>
      </c>
      <c r="AP29" s="90" t="s">
        <v>502</v>
      </c>
      <c r="AQ29" s="85" t="b">
        <v>1</v>
      </c>
      <c r="AR29" s="85" t="b">
        <v>0</v>
      </c>
      <c r="AS29" s="85" t="b">
        <v>0</v>
      </c>
      <c r="AT29" s="85" t="s">
        <v>352</v>
      </c>
      <c r="AU29" s="85">
        <v>358</v>
      </c>
      <c r="AV29" s="90" t="s">
        <v>503</v>
      </c>
      <c r="AW29" s="85" t="b">
        <v>0</v>
      </c>
      <c r="AX29" s="85" t="s">
        <v>521</v>
      </c>
      <c r="AY29" s="90" t="s">
        <v>548</v>
      </c>
      <c r="AZ29" s="85" t="s">
        <v>66</v>
      </c>
      <c r="BA29" s="85" t="str">
        <f>REPLACE(INDEX(GroupVertices[Group],MATCH(Vertices[[#This Row],[Vertex]],GroupVertices[Vertex],0)),1,1,"")</f>
        <v>4</v>
      </c>
      <c r="BB29" s="51"/>
      <c r="BC29" s="51"/>
      <c r="BD29" s="51"/>
      <c r="BE29" s="51"/>
      <c r="BF29" s="51" t="s">
        <v>269</v>
      </c>
      <c r="BG29" s="51" t="s">
        <v>269</v>
      </c>
      <c r="BH29" s="132" t="s">
        <v>838</v>
      </c>
      <c r="BI29" s="132" t="s">
        <v>838</v>
      </c>
      <c r="BJ29" s="132" t="s">
        <v>856</v>
      </c>
      <c r="BK29" s="132" t="s">
        <v>856</v>
      </c>
      <c r="BL29" s="132">
        <v>0</v>
      </c>
      <c r="BM29" s="135">
        <v>0</v>
      </c>
      <c r="BN29" s="132">
        <v>0</v>
      </c>
      <c r="BO29" s="135">
        <v>0</v>
      </c>
      <c r="BP29" s="132">
        <v>0</v>
      </c>
      <c r="BQ29" s="135">
        <v>0</v>
      </c>
      <c r="BR29" s="132">
        <v>13</v>
      </c>
      <c r="BS29" s="135">
        <v>100</v>
      </c>
      <c r="BT29" s="132">
        <v>13</v>
      </c>
      <c r="BU29" s="2"/>
      <c r="BV29" s="3"/>
      <c r="BW29" s="3"/>
      <c r="BX29" s="3"/>
      <c r="BY29"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B3:AB29"/>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P3:P29">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N3:O29"/>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M3:M29"/>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Q3:Q29"/>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R3:R29"/>
    <dataValidation allowBlank="1" showInputMessage="1" promptTitle="Vertex Tooltip" prompt="Enter optional text that will pop up when the mouse is hovered over the vertex." errorTitle="Invalid Vertex Image Key" sqref="L3:L29"/>
    <dataValidation allowBlank="1" promptTitle="Vertex ID" prompt="This is a unique ID that gets filled in automatically.  Do not edit this column." errorTitle="Invalid Vertex Visibility" error="You have entered an unrecognized vertex visibility.  Try selecting from the drop-down list instead." sqref="AC3:AC29"/>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H3:H29">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I3:I29"/>
    <dataValidation allowBlank="1" showInputMessage="1" promptTitle="Vertex Label Fill Color" prompt="To select an optional fill color for the Label shape, right-click and select Select Color on the right-click menu." sqref="J3:J29"/>
    <dataValidation allowBlank="1" showInputMessage="1" promptTitle="Vertex Image File" prompt="Enter the path to an image file.  Hover over the column header for examples." errorTitle="Invalid Vertex Image Key" sqref="G3:G29"/>
    <dataValidation allowBlank="1" showInputMessage="1" promptTitle="Vertex Color" prompt="To select an optional vertex color, right-click and select Select Color on the right-click menu." sqref="C3:C29"/>
    <dataValidation allowBlank="1" showInputMessage="1" promptTitle="Vertex Opacity" prompt="Enter an optional vertex opacity between 0 (transparent) and 100 (opaque)." errorTitle="Invalid Vertex Opacity" error="The optional vertex opacity must be a whole number between 0 and 10." sqref="F3:F29"/>
    <dataValidation type="list" allowBlank="1" showInputMessage="1" showErrorMessage="1" promptTitle="Vertex Shape" prompt="Select an optional vertex shape." errorTitle="Invalid Vertex Shape" error="You have entered an invalid vertex shape.  Try selecting from the drop-down list instead." sqref="D3:D29">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E3:E29"/>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K3:K29">
      <formula1>ValidVertexLabelPositions</formula1>
    </dataValidation>
    <dataValidation allowBlank="1" showInputMessage="1" showErrorMessage="1" promptTitle="Vertex Name" prompt="Enter the name of the vertex." sqref="A3:A29"/>
  </dataValidations>
  <hyperlinks>
    <hyperlink ref="AM3" r:id="rId1" display="https://t.co/vCD3GOcKmw"/>
    <hyperlink ref="AM4" r:id="rId2" display="https://t.co/4fS6oBSq8G"/>
    <hyperlink ref="AM5" r:id="rId3" display="https://t.co/0UCaSxpASf"/>
    <hyperlink ref="AM7" r:id="rId4" display="http://t.co/pvEpFMtrAm"/>
    <hyperlink ref="AM8" r:id="rId5" display="https://t.co/ShBBvqjUts"/>
    <hyperlink ref="AM9" r:id="rId6" display="https://t.co/dVAQ61heYx"/>
    <hyperlink ref="AM10" r:id="rId7" display="https://t.co/Rf2nsiXWa5"/>
    <hyperlink ref="AM11" r:id="rId8" display="https://t.co/Fgq8bvq7S2"/>
    <hyperlink ref="AM12" r:id="rId9" display="https://t.co/ZDRGafoQoB"/>
    <hyperlink ref="AM14" r:id="rId10" display="https://t.co/QtHZLFSPBs"/>
    <hyperlink ref="AM16" r:id="rId11" display="https://t.co/o6PzEgDsJg"/>
    <hyperlink ref="AM18" r:id="rId12" display="http://t.co/SeK1r2QYdR"/>
    <hyperlink ref="AM19" r:id="rId13" display="http://t.co/ELSb5fyD54"/>
    <hyperlink ref="AM20" r:id="rId14" display="https://t.co/6OI3tmZn5P"/>
    <hyperlink ref="AM21" r:id="rId15" display="https://t.co/CDMsFCw9fe"/>
    <hyperlink ref="AM22" r:id="rId16" display="https://t.co/B1d062WPKC"/>
    <hyperlink ref="AM23" r:id="rId17" display="http://t.co/ahvuWqicF9"/>
    <hyperlink ref="AM24" r:id="rId18" display="http://t.co/DtcPvYMt"/>
    <hyperlink ref="AM25" r:id="rId19" display="https://t.co/KIEKO2i7PU"/>
    <hyperlink ref="AM26" r:id="rId20" display="https://t.co/ukqmUhVOtH"/>
    <hyperlink ref="AM27" r:id="rId21" display="https://t.co/wr9X6ALpDS"/>
    <hyperlink ref="AM28" r:id="rId22" display="https://t.co/m0UkD95Igt"/>
    <hyperlink ref="AM29" r:id="rId23" display="https://t.co/8x2QGAloQ8"/>
    <hyperlink ref="AP4" r:id="rId24" display="https://pbs.twimg.com/profile_banners/905421382451941377/1504704430"/>
    <hyperlink ref="AP5" r:id="rId25" display="https://pbs.twimg.com/profile_banners/6168682/1468953960"/>
    <hyperlink ref="AP8" r:id="rId26" display="https://pbs.twimg.com/profile_banners/131186391/1516008465"/>
    <hyperlink ref="AP10" r:id="rId27" display="https://pbs.twimg.com/profile_banners/51169895/1536011653"/>
    <hyperlink ref="AP11" r:id="rId28" display="https://pbs.twimg.com/profile_banners/10457862/1403794835"/>
    <hyperlink ref="AP12" r:id="rId29" display="https://pbs.twimg.com/profile_banners/4824029985/1467311314"/>
    <hyperlink ref="AP13" r:id="rId30" display="https://pbs.twimg.com/profile_banners/18855622/1530470557"/>
    <hyperlink ref="AP14" r:id="rId31" display="https://pbs.twimg.com/profile_banners/74883793/1355448057"/>
    <hyperlink ref="AP15" r:id="rId32" display="https://pbs.twimg.com/profile_banners/913202025663430656/1533311152"/>
    <hyperlink ref="AP16" r:id="rId33" display="https://pbs.twimg.com/profile_banners/44369850/1559673510"/>
    <hyperlink ref="AP17" r:id="rId34" display="https://pbs.twimg.com/profile_banners/14308278/1472402006"/>
    <hyperlink ref="AP19" r:id="rId35" display="https://pbs.twimg.com/profile_banners/14620824/1416603898"/>
    <hyperlink ref="AP20" r:id="rId36" display="https://pbs.twimg.com/profile_banners/115763683/1554299656"/>
    <hyperlink ref="AP21" r:id="rId37" display="https://pbs.twimg.com/profile_banners/94384796/1445870572"/>
    <hyperlink ref="AP22" r:id="rId38" display="https://pbs.twimg.com/profile_banners/17369964/1490698485"/>
    <hyperlink ref="AP23" r:id="rId39" display="https://pbs.twimg.com/profile_banners/807095/1562009397"/>
    <hyperlink ref="AP24" r:id="rId40" display="https://pbs.twimg.com/profile_banners/1137416996/1492284659"/>
    <hyperlink ref="AP25" r:id="rId41" display="https://pbs.twimg.com/profile_banners/363160500/1556555154"/>
    <hyperlink ref="AP26" r:id="rId42" display="https://pbs.twimg.com/profile_banners/110633876/1535247211"/>
    <hyperlink ref="AP27" r:id="rId43" display="https://pbs.twimg.com/profile_banners/609929187/1410888524"/>
    <hyperlink ref="AP28" r:id="rId44" display="https://pbs.twimg.com/profile_banners/763365608683692032/1470905567"/>
    <hyperlink ref="AP29" r:id="rId45" display="https://pbs.twimg.com/profile_banners/36024756/1510052580"/>
    <hyperlink ref="AV3" r:id="rId46" display="http://abs.twimg.com/images/themes/theme1/bg.png"/>
    <hyperlink ref="AV5" r:id="rId47" display="http://abs.twimg.com/images/themes/theme9/bg.gif"/>
    <hyperlink ref="AV6" r:id="rId48" display="http://abs.twimg.com/images/themes/theme1/bg.png"/>
    <hyperlink ref="AV7" r:id="rId49" display="http://abs.twimg.com/images/themes/theme2/bg.gif"/>
    <hyperlink ref="AV8" r:id="rId50" display="http://abs.twimg.com/images/themes/theme9/bg.gif"/>
    <hyperlink ref="AV10" r:id="rId51" display="http://abs.twimg.com/images/themes/theme2/bg.gif"/>
    <hyperlink ref="AV11" r:id="rId52" display="http://abs.twimg.com/images/themes/theme15/bg.png"/>
    <hyperlink ref="AV13" r:id="rId53" display="http://abs.twimg.com/images/themes/theme14/bg.gif"/>
    <hyperlink ref="AV14" r:id="rId54" display="http://abs.twimg.com/images/themes/theme1/bg.png"/>
    <hyperlink ref="AV15" r:id="rId55" display="http://abs.twimg.com/images/themes/theme1/bg.png"/>
    <hyperlink ref="AV16" r:id="rId56" display="http://abs.twimg.com/images/themes/theme6/bg.gif"/>
    <hyperlink ref="AV17" r:id="rId57" display="http://abs.twimg.com/images/themes/theme1/bg.png"/>
    <hyperlink ref="AV18" r:id="rId58" display="http://abs.twimg.com/images/themes/theme1/bg.png"/>
    <hyperlink ref="AV19" r:id="rId59" display="http://abs.twimg.com/images/themes/theme7/bg.gif"/>
    <hyperlink ref="AV20" r:id="rId60" display="http://abs.twimg.com/images/themes/theme1/bg.png"/>
    <hyperlink ref="AV21" r:id="rId61" display="http://abs.twimg.com/images/themes/theme15/bg.png"/>
    <hyperlink ref="AV22" r:id="rId62" display="http://abs.twimg.com/images/themes/theme1/bg.png"/>
    <hyperlink ref="AV23" r:id="rId63" display="http://abs.twimg.com/images/themes/theme14/bg.gif"/>
    <hyperlink ref="AV24" r:id="rId64" display="http://abs.twimg.com/images/themes/theme1/bg.png"/>
    <hyperlink ref="AV25" r:id="rId65" display="http://abs.twimg.com/images/themes/theme14/bg.gif"/>
    <hyperlink ref="AV26" r:id="rId66" display="http://abs.twimg.com/images/themes/theme1/bg.png"/>
    <hyperlink ref="AV27" r:id="rId67" display="http://abs.twimg.com/images/themes/theme1/bg.png"/>
    <hyperlink ref="AV29" r:id="rId68" display="http://abs.twimg.com/images/themes/theme1/bg.png"/>
    <hyperlink ref="G3" r:id="rId69" display="http://pbs.twimg.com/profile_images/864450427932114945/Ih-T5zEA_normal.jpg"/>
    <hyperlink ref="G4" r:id="rId70" display="http://pbs.twimg.com/profile_images/930874152210354176/Tc9qVyeI_normal.jpg"/>
    <hyperlink ref="G5" r:id="rId71" display="http://pbs.twimg.com/profile_images/931731378621812736/w8VzS6SD_normal.jpg"/>
    <hyperlink ref="G6" r:id="rId72" display="http://pbs.twimg.com/profile_images/841803825665187841/-Ok2hipH_normal.jpg"/>
    <hyperlink ref="G7" r:id="rId73" display="http://pbs.twimg.com/profile_images/522075391494606848/U80u5PT8_normal.jpeg"/>
    <hyperlink ref="G8" r:id="rId74" display="http://pbs.twimg.com/profile_images/861540695940714498/qqksZ8UK_normal.jpg"/>
    <hyperlink ref="G9" r:id="rId75" display="http://pbs.twimg.com/profile_images/882983595744165889/1cDtYfZV_normal.jpg"/>
    <hyperlink ref="G10" r:id="rId76" display="http://pbs.twimg.com/profile_images/858732102862483456/rzI0kX-i_normal.jpg"/>
    <hyperlink ref="G11" r:id="rId77" display="http://pbs.twimg.com/profile_images/1137426815759376384/DkfmSuOK_normal.jpg"/>
    <hyperlink ref="G12" r:id="rId78" display="http://pbs.twimg.com/profile_images/748583335253970950/4b-MSc-n_normal.jpg"/>
    <hyperlink ref="G13" r:id="rId79" display="http://pbs.twimg.com/profile_images/1025114534095273986/pnFxrGbv_normal.jpg"/>
    <hyperlink ref="G14" r:id="rId80" display="http://pbs.twimg.com/profile_images/976301563869265920/WXyNjkFo_normal.jpg"/>
    <hyperlink ref="G15" r:id="rId81" display="http://pbs.twimg.com/profile_images/1087888820811558918/dwfYBqPD_normal.jpg"/>
    <hyperlink ref="G16" r:id="rId82" display="http://pbs.twimg.com/profile_images/512724353432051712/u9vs2gOS_normal.jpeg"/>
    <hyperlink ref="G17" r:id="rId83" display="http://pbs.twimg.com/profile_images/769933008250044416/3iCc7nAn_normal.jpg"/>
    <hyperlink ref="G18" r:id="rId84" display="http://pbs.twimg.com/profile_images/3464150917/7618ea0fe388b345e2450cee465a4ea1_normal.jpeg"/>
    <hyperlink ref="G19" r:id="rId85" display="http://pbs.twimg.com/profile_images/728984748677341184/a42Pkbh3_normal.jpg"/>
    <hyperlink ref="G20" r:id="rId86" display="http://pbs.twimg.com/profile_images/656872290492284928/6Vk-M4KK_normal.jpg"/>
    <hyperlink ref="G21" r:id="rId87" display="http://pbs.twimg.com/profile_images/754859214544175104/7Xk06_Hr_normal.jpg"/>
    <hyperlink ref="G22" r:id="rId88" display="http://pbs.twimg.com/profile_images/1205664680/erickson_twit_normal.jpg"/>
    <hyperlink ref="G23" r:id="rId89" display="http://pbs.twimg.com/profile_images/1098244578472280064/gjkVMelR_normal.png"/>
    <hyperlink ref="G24" r:id="rId90" display="http://pbs.twimg.com/profile_images/3207187088/5dadb1edbeef8d68935b11c6fa3d97ed_normal.jpeg"/>
    <hyperlink ref="G25" r:id="rId91" display="http://pbs.twimg.com/profile_images/1076149439197261824/NUJ_iN7u_normal.jpg"/>
    <hyperlink ref="G26" r:id="rId92" display="http://pbs.twimg.com/profile_images/378800000697318472/3ac4ee14df618921c5617e6fc0d6c092_normal.jpeg"/>
    <hyperlink ref="G27" r:id="rId93" display="http://pbs.twimg.com/profile_images/805360572367781889/odKACjnJ_normal.jpg"/>
    <hyperlink ref="G28" r:id="rId94" display="http://pbs.twimg.com/profile_images/763367816955387904/Eou86Hrg_normal.jpg"/>
    <hyperlink ref="G29" r:id="rId95" display="http://pbs.twimg.com/profile_images/188072445/wendybyjack_normal.JPG"/>
    <hyperlink ref="AY3" r:id="rId96" display="https://twitter.com/rebekahktromble"/>
    <hyperlink ref="AY4" r:id="rId97" display="https://twitter.com/pervade_team"/>
    <hyperlink ref="AY5" r:id="rId98" display="https://twitter.com/michaelzimmer"/>
    <hyperlink ref="AY6" r:id="rId99" display="https://twitter.com/jhblackb"/>
    <hyperlink ref="AY7" r:id="rId100" display="https://twitter.com/dchatzakou"/>
    <hyperlink ref="AY8" r:id="rId101" display="https://twitter.com/emilianoucl"/>
    <hyperlink ref="AY9" r:id="rId102" display="https://twitter.com/idramalab"/>
    <hyperlink ref="AY10" r:id="rId103" display="https://twitter.com/gianluca_string"/>
    <hyperlink ref="AY11" r:id="rId104" display="https://twitter.com/diegocaro"/>
    <hyperlink ref="AY12" r:id="rId105" display="https://twitter.com/datascienceudd"/>
    <hyperlink ref="AY13" r:id="rId106" display="https://twitter.com/carnby"/>
    <hyperlink ref="AY14" r:id="rId107" display="https://twitter.com/gonzalobarria"/>
    <hyperlink ref="AY15" r:id="rId108" display="https://twitter.com/pauvasquezh"/>
    <hyperlink ref="AY16" r:id="rId109" display="https://twitter.com/aastroza"/>
    <hyperlink ref="AY17" r:id="rId110" display="https://twitter.com/franvarela"/>
    <hyperlink ref="AY18" r:id="rId111" display="https://twitter.com/elmanujano"/>
    <hyperlink ref="AY19" r:id="rId112" display="https://twitter.com/congosto"/>
    <hyperlink ref="AY20" r:id="rId113" display="https://twitter.com/theofficialacm"/>
    <hyperlink ref="AY21" r:id="rId114" display="https://twitter.com/jvitak"/>
    <hyperlink ref="AY22" r:id="rId115" display="https://twitter.com/olyerickson"/>
    <hyperlink ref="AY23" r:id="rId116" display="https://twitter.com/nytimes"/>
    <hyperlink ref="AY24" r:id="rId117" display="https://twitter.com/faizapatelbcj"/>
    <hyperlink ref="AY25" r:id="rId118" display="https://twitter.com/khourycollege"/>
    <hyperlink ref="AY26" r:id="rId119" display="https://twitter.com/miz_oka"/>
    <hyperlink ref="AY27" r:id="rId120" display="https://twitter.com/exdwarf"/>
    <hyperlink ref="AY28" r:id="rId121" display="https://twitter.com/floodserveu"/>
    <hyperlink ref="AY29" r:id="rId122" display="https://twitter.com/damewendydbe"/>
  </hyperlinks>
  <printOptions/>
  <pageMargins left="0.7" right="0.7" top="0.75" bottom="0.75" header="0.3" footer="0.3"/>
  <pageSetup horizontalDpi="600" verticalDpi="600" orientation="portrait" r:id="rId127"/>
  <drawing r:id="rId126"/>
  <legacyDrawing r:id="rId124"/>
  <tableParts>
    <tablePart r:id="rId125"/>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8"/>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140625" style="0" bestFit="1" customWidth="1"/>
    <col min="26" max="26" width="14.57421875" style="0" bestFit="1" customWidth="1"/>
    <col min="27" max="27" width="14.7109375" style="0" bestFit="1" customWidth="1"/>
    <col min="28" max="28" width="12.57421875" style="0" bestFit="1" customWidth="1"/>
    <col min="29" max="29" width="15.7109375" style="0" bestFit="1" customWidth="1"/>
    <col min="30" max="30" width="13.7109375" style="0" bestFit="1" customWidth="1"/>
    <col min="31" max="31" width="16.8515625" style="0" bestFit="1" customWidth="1"/>
    <col min="32" max="32" width="11.421875" style="0" bestFit="1" customWidth="1"/>
    <col min="33" max="33" width="21.57421875" style="0" bestFit="1" customWidth="1"/>
    <col min="34" max="34" width="26.8515625" style="0" bestFit="1" customWidth="1"/>
    <col min="35" max="35" width="22.421875" style="0" bestFit="1" customWidth="1"/>
    <col min="36" max="36" width="27.8515625" style="0" bestFit="1" customWidth="1"/>
    <col min="37" max="37" width="27.140625" style="0" bestFit="1" customWidth="1"/>
    <col min="38" max="38" width="32.57421875" style="0" bestFit="1" customWidth="1"/>
    <col min="39" max="39" width="18.00390625" style="0" bestFit="1" customWidth="1"/>
    <col min="40" max="40" width="22.140625" style="0" bestFit="1" customWidth="1"/>
    <col min="41" max="41" width="16.28125" style="0" bestFit="1" customWidth="1"/>
  </cols>
  <sheetData>
    <row r="1" spans="2:24" ht="15">
      <c r="B1" s="68" t="s">
        <v>39</v>
      </c>
      <c r="C1" s="69"/>
      <c r="D1" s="69"/>
      <c r="E1" s="70"/>
      <c r="F1" s="66" t="s">
        <v>43</v>
      </c>
      <c r="G1" s="71" t="s">
        <v>44</v>
      </c>
      <c r="H1" s="72"/>
      <c r="I1" s="73" t="s">
        <v>40</v>
      </c>
      <c r="J1" s="74"/>
      <c r="K1" s="75" t="s">
        <v>42</v>
      </c>
      <c r="L1" s="76"/>
      <c r="M1" s="76"/>
      <c r="N1" s="76"/>
      <c r="O1" s="76"/>
      <c r="P1" s="76"/>
      <c r="Q1" s="76"/>
      <c r="R1" s="76"/>
      <c r="S1" s="76"/>
      <c r="T1" s="76"/>
      <c r="U1" s="76"/>
      <c r="V1" s="76"/>
      <c r="W1" s="76"/>
      <c r="X1" s="76"/>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653</v>
      </c>
      <c r="Z2" s="13" t="s">
        <v>663</v>
      </c>
      <c r="AA2" s="13" t="s">
        <v>678</v>
      </c>
      <c r="AB2" s="13" t="s">
        <v>722</v>
      </c>
      <c r="AC2" s="13" t="s">
        <v>776</v>
      </c>
      <c r="AD2" s="13" t="s">
        <v>795</v>
      </c>
      <c r="AE2" s="13" t="s">
        <v>797</v>
      </c>
      <c r="AF2" s="13" t="s">
        <v>810</v>
      </c>
      <c r="AG2" s="67" t="s">
        <v>888</v>
      </c>
      <c r="AH2" s="67" t="s">
        <v>889</v>
      </c>
      <c r="AI2" s="67" t="s">
        <v>890</v>
      </c>
      <c r="AJ2" s="67" t="s">
        <v>891</v>
      </c>
      <c r="AK2" s="67" t="s">
        <v>892</v>
      </c>
      <c r="AL2" s="67" t="s">
        <v>893</v>
      </c>
      <c r="AM2" s="67" t="s">
        <v>894</v>
      </c>
      <c r="AN2" s="67" t="s">
        <v>895</v>
      </c>
      <c r="AO2" s="67" t="s">
        <v>898</v>
      </c>
    </row>
    <row r="3" spans="1:41" ht="15">
      <c r="A3" s="126" t="s">
        <v>615</v>
      </c>
      <c r="B3" s="127" t="s">
        <v>621</v>
      </c>
      <c r="C3" s="127" t="s">
        <v>56</v>
      </c>
      <c r="D3" s="118"/>
      <c r="E3" s="117"/>
      <c r="F3" s="119" t="s">
        <v>904</v>
      </c>
      <c r="G3" s="120"/>
      <c r="H3" s="120"/>
      <c r="I3" s="121">
        <v>3</v>
      </c>
      <c r="J3" s="122"/>
      <c r="K3" s="51">
        <v>9</v>
      </c>
      <c r="L3" s="51">
        <v>15</v>
      </c>
      <c r="M3" s="51">
        <v>0</v>
      </c>
      <c r="N3" s="51">
        <v>15</v>
      </c>
      <c r="O3" s="51">
        <v>0</v>
      </c>
      <c r="P3" s="52">
        <v>0</v>
      </c>
      <c r="Q3" s="52">
        <v>0</v>
      </c>
      <c r="R3" s="51">
        <v>1</v>
      </c>
      <c r="S3" s="51">
        <v>0</v>
      </c>
      <c r="T3" s="51">
        <v>9</v>
      </c>
      <c r="U3" s="51">
        <v>15</v>
      </c>
      <c r="V3" s="51">
        <v>2</v>
      </c>
      <c r="W3" s="52">
        <v>1.407407</v>
      </c>
      <c r="X3" s="52">
        <v>0.20833333333333334</v>
      </c>
      <c r="Y3" s="85"/>
      <c r="Z3" s="85"/>
      <c r="AA3" s="85"/>
      <c r="AB3" s="91" t="s">
        <v>723</v>
      </c>
      <c r="AC3" s="91" t="s">
        <v>777</v>
      </c>
      <c r="AD3" s="91"/>
      <c r="AE3" s="91" t="s">
        <v>798</v>
      </c>
      <c r="AF3" s="91" t="s">
        <v>811</v>
      </c>
      <c r="AG3" s="132">
        <v>0</v>
      </c>
      <c r="AH3" s="135">
        <v>0</v>
      </c>
      <c r="AI3" s="132">
        <v>0</v>
      </c>
      <c r="AJ3" s="135">
        <v>0</v>
      </c>
      <c r="AK3" s="132">
        <v>0</v>
      </c>
      <c r="AL3" s="135">
        <v>0</v>
      </c>
      <c r="AM3" s="132">
        <v>166</v>
      </c>
      <c r="AN3" s="135">
        <v>100</v>
      </c>
      <c r="AO3" s="132">
        <v>166</v>
      </c>
    </row>
    <row r="4" spans="1:41" ht="15">
      <c r="A4" s="126" t="s">
        <v>616</v>
      </c>
      <c r="B4" s="127" t="s">
        <v>622</v>
      </c>
      <c r="C4" s="127" t="s">
        <v>56</v>
      </c>
      <c r="D4" s="123"/>
      <c r="E4" s="100"/>
      <c r="F4" s="103" t="s">
        <v>905</v>
      </c>
      <c r="G4" s="107"/>
      <c r="H4" s="107"/>
      <c r="I4" s="124">
        <v>4</v>
      </c>
      <c r="J4" s="110"/>
      <c r="K4" s="51">
        <v>5</v>
      </c>
      <c r="L4" s="51">
        <v>7</v>
      </c>
      <c r="M4" s="51">
        <v>0</v>
      </c>
      <c r="N4" s="51">
        <v>7</v>
      </c>
      <c r="O4" s="51">
        <v>0</v>
      </c>
      <c r="P4" s="52">
        <v>0.16666666666666666</v>
      </c>
      <c r="Q4" s="52">
        <v>0.2857142857142857</v>
      </c>
      <c r="R4" s="51">
        <v>1</v>
      </c>
      <c r="S4" s="51">
        <v>0</v>
      </c>
      <c r="T4" s="51">
        <v>5</v>
      </c>
      <c r="U4" s="51">
        <v>7</v>
      </c>
      <c r="V4" s="51">
        <v>2</v>
      </c>
      <c r="W4" s="52">
        <v>1.12</v>
      </c>
      <c r="X4" s="52">
        <v>0.35</v>
      </c>
      <c r="Y4" s="85" t="s">
        <v>259</v>
      </c>
      <c r="Z4" s="85" t="s">
        <v>264</v>
      </c>
      <c r="AA4" s="85" t="s">
        <v>270</v>
      </c>
      <c r="AB4" s="91" t="s">
        <v>724</v>
      </c>
      <c r="AC4" s="91" t="s">
        <v>778</v>
      </c>
      <c r="AD4" s="91" t="s">
        <v>796</v>
      </c>
      <c r="AE4" s="91" t="s">
        <v>799</v>
      </c>
      <c r="AF4" s="91" t="s">
        <v>812</v>
      </c>
      <c r="AG4" s="132">
        <v>1</v>
      </c>
      <c r="AH4" s="135">
        <v>1.1111111111111112</v>
      </c>
      <c r="AI4" s="132">
        <v>1</v>
      </c>
      <c r="AJ4" s="135">
        <v>1.1111111111111112</v>
      </c>
      <c r="AK4" s="132">
        <v>0</v>
      </c>
      <c r="AL4" s="135">
        <v>0</v>
      </c>
      <c r="AM4" s="132">
        <v>88</v>
      </c>
      <c r="AN4" s="135">
        <v>97.77777777777777</v>
      </c>
      <c r="AO4" s="132">
        <v>90</v>
      </c>
    </row>
    <row r="5" spans="1:41" ht="15">
      <c r="A5" s="126" t="s">
        <v>617</v>
      </c>
      <c r="B5" s="127" t="s">
        <v>623</v>
      </c>
      <c r="C5" s="127" t="s">
        <v>56</v>
      </c>
      <c r="D5" s="123"/>
      <c r="E5" s="100"/>
      <c r="F5" s="103" t="s">
        <v>906</v>
      </c>
      <c r="G5" s="107"/>
      <c r="H5" s="107"/>
      <c r="I5" s="124">
        <v>5</v>
      </c>
      <c r="J5" s="110"/>
      <c r="K5" s="51">
        <v>5</v>
      </c>
      <c r="L5" s="51">
        <v>7</v>
      </c>
      <c r="M5" s="51">
        <v>0</v>
      </c>
      <c r="N5" s="51">
        <v>7</v>
      </c>
      <c r="O5" s="51">
        <v>0</v>
      </c>
      <c r="P5" s="52">
        <v>0</v>
      </c>
      <c r="Q5" s="52">
        <v>0</v>
      </c>
      <c r="R5" s="51">
        <v>1</v>
      </c>
      <c r="S5" s="51">
        <v>0</v>
      </c>
      <c r="T5" s="51">
        <v>5</v>
      </c>
      <c r="U5" s="51">
        <v>7</v>
      </c>
      <c r="V5" s="51">
        <v>2</v>
      </c>
      <c r="W5" s="52">
        <v>1.04</v>
      </c>
      <c r="X5" s="52">
        <v>0.35</v>
      </c>
      <c r="Y5" s="85"/>
      <c r="Z5" s="85"/>
      <c r="AA5" s="85"/>
      <c r="AB5" s="91" t="s">
        <v>725</v>
      </c>
      <c r="AC5" s="91" t="s">
        <v>779</v>
      </c>
      <c r="AD5" s="91"/>
      <c r="AE5" s="91" t="s">
        <v>800</v>
      </c>
      <c r="AF5" s="91" t="s">
        <v>813</v>
      </c>
      <c r="AG5" s="132">
        <v>0</v>
      </c>
      <c r="AH5" s="135">
        <v>0</v>
      </c>
      <c r="AI5" s="132">
        <v>0</v>
      </c>
      <c r="AJ5" s="135">
        <v>0</v>
      </c>
      <c r="AK5" s="132">
        <v>0</v>
      </c>
      <c r="AL5" s="135">
        <v>0</v>
      </c>
      <c r="AM5" s="132">
        <v>97</v>
      </c>
      <c r="AN5" s="135">
        <v>100</v>
      </c>
      <c r="AO5" s="132">
        <v>97</v>
      </c>
    </row>
    <row r="6" spans="1:41" ht="15">
      <c r="A6" s="126" t="s">
        <v>618</v>
      </c>
      <c r="B6" s="127" t="s">
        <v>624</v>
      </c>
      <c r="C6" s="127" t="s">
        <v>56</v>
      </c>
      <c r="D6" s="123"/>
      <c r="E6" s="100"/>
      <c r="F6" s="103" t="s">
        <v>907</v>
      </c>
      <c r="G6" s="107"/>
      <c r="H6" s="107"/>
      <c r="I6" s="124">
        <v>6</v>
      </c>
      <c r="J6" s="110"/>
      <c r="K6" s="51">
        <v>3</v>
      </c>
      <c r="L6" s="51">
        <v>3</v>
      </c>
      <c r="M6" s="51">
        <v>2</v>
      </c>
      <c r="N6" s="51">
        <v>5</v>
      </c>
      <c r="O6" s="51">
        <v>2</v>
      </c>
      <c r="P6" s="52">
        <v>0</v>
      </c>
      <c r="Q6" s="52">
        <v>0</v>
      </c>
      <c r="R6" s="51">
        <v>1</v>
      </c>
      <c r="S6" s="51">
        <v>0</v>
      </c>
      <c r="T6" s="51">
        <v>3</v>
      </c>
      <c r="U6" s="51">
        <v>5</v>
      </c>
      <c r="V6" s="51">
        <v>1</v>
      </c>
      <c r="W6" s="52">
        <v>0.666667</v>
      </c>
      <c r="X6" s="52">
        <v>0.5</v>
      </c>
      <c r="Y6" s="85"/>
      <c r="Z6" s="85"/>
      <c r="AA6" s="85" t="s">
        <v>272</v>
      </c>
      <c r="AB6" s="91" t="s">
        <v>726</v>
      </c>
      <c r="AC6" s="91" t="s">
        <v>780</v>
      </c>
      <c r="AD6" s="91"/>
      <c r="AE6" s="91" t="s">
        <v>801</v>
      </c>
      <c r="AF6" s="91" t="s">
        <v>814</v>
      </c>
      <c r="AG6" s="132">
        <v>0</v>
      </c>
      <c r="AH6" s="135">
        <v>0</v>
      </c>
      <c r="AI6" s="132">
        <v>0</v>
      </c>
      <c r="AJ6" s="135">
        <v>0</v>
      </c>
      <c r="AK6" s="132">
        <v>0</v>
      </c>
      <c r="AL6" s="135">
        <v>0</v>
      </c>
      <c r="AM6" s="132">
        <v>39</v>
      </c>
      <c r="AN6" s="135">
        <v>100</v>
      </c>
      <c r="AO6" s="132">
        <v>39</v>
      </c>
    </row>
    <row r="7" spans="1:41" ht="15">
      <c r="A7" s="126" t="s">
        <v>619</v>
      </c>
      <c r="B7" s="127" t="s">
        <v>625</v>
      </c>
      <c r="C7" s="127" t="s">
        <v>56</v>
      </c>
      <c r="D7" s="123"/>
      <c r="E7" s="100"/>
      <c r="F7" s="103" t="s">
        <v>619</v>
      </c>
      <c r="G7" s="107"/>
      <c r="H7" s="107"/>
      <c r="I7" s="124">
        <v>7</v>
      </c>
      <c r="J7" s="110"/>
      <c r="K7" s="51">
        <v>3</v>
      </c>
      <c r="L7" s="51">
        <v>2</v>
      </c>
      <c r="M7" s="51">
        <v>0</v>
      </c>
      <c r="N7" s="51">
        <v>2</v>
      </c>
      <c r="O7" s="51">
        <v>0</v>
      </c>
      <c r="P7" s="52">
        <v>0</v>
      </c>
      <c r="Q7" s="52">
        <v>0</v>
      </c>
      <c r="R7" s="51">
        <v>1</v>
      </c>
      <c r="S7" s="51">
        <v>0</v>
      </c>
      <c r="T7" s="51">
        <v>3</v>
      </c>
      <c r="U7" s="51">
        <v>2</v>
      </c>
      <c r="V7" s="51">
        <v>2</v>
      </c>
      <c r="W7" s="52">
        <v>0.888889</v>
      </c>
      <c r="X7" s="52">
        <v>0.3333333333333333</v>
      </c>
      <c r="Y7" s="85" t="s">
        <v>260</v>
      </c>
      <c r="Z7" s="85" t="s">
        <v>265</v>
      </c>
      <c r="AA7" s="85" t="s">
        <v>271</v>
      </c>
      <c r="AB7" s="91" t="s">
        <v>349</v>
      </c>
      <c r="AC7" s="91" t="s">
        <v>349</v>
      </c>
      <c r="AD7" s="91"/>
      <c r="AE7" s="91" t="s">
        <v>802</v>
      </c>
      <c r="AF7" s="91" t="s">
        <v>815</v>
      </c>
      <c r="AG7" s="132">
        <v>1</v>
      </c>
      <c r="AH7" s="135">
        <v>3.5714285714285716</v>
      </c>
      <c r="AI7" s="132">
        <v>1</v>
      </c>
      <c r="AJ7" s="135">
        <v>3.5714285714285716</v>
      </c>
      <c r="AK7" s="132">
        <v>0</v>
      </c>
      <c r="AL7" s="135">
        <v>0</v>
      </c>
      <c r="AM7" s="132">
        <v>26</v>
      </c>
      <c r="AN7" s="135">
        <v>92.85714285714286</v>
      </c>
      <c r="AO7" s="132">
        <v>28</v>
      </c>
    </row>
    <row r="8" spans="1:41" ht="15">
      <c r="A8" s="126" t="s">
        <v>620</v>
      </c>
      <c r="B8" s="127" t="s">
        <v>626</v>
      </c>
      <c r="C8" s="127" t="s">
        <v>56</v>
      </c>
      <c r="D8" s="123"/>
      <c r="E8" s="100"/>
      <c r="F8" s="103" t="s">
        <v>908</v>
      </c>
      <c r="G8" s="107"/>
      <c r="H8" s="107"/>
      <c r="I8" s="124">
        <v>8</v>
      </c>
      <c r="J8" s="110"/>
      <c r="K8" s="51">
        <v>2</v>
      </c>
      <c r="L8" s="51">
        <v>0</v>
      </c>
      <c r="M8" s="51">
        <v>5</v>
      </c>
      <c r="N8" s="51">
        <v>5</v>
      </c>
      <c r="O8" s="51">
        <v>5</v>
      </c>
      <c r="P8" s="52" t="s">
        <v>899</v>
      </c>
      <c r="Q8" s="52" t="s">
        <v>899</v>
      </c>
      <c r="R8" s="51">
        <v>2</v>
      </c>
      <c r="S8" s="51">
        <v>2</v>
      </c>
      <c r="T8" s="51">
        <v>1</v>
      </c>
      <c r="U8" s="51">
        <v>3</v>
      </c>
      <c r="V8" s="51">
        <v>0</v>
      </c>
      <c r="W8" s="52">
        <v>0</v>
      </c>
      <c r="X8" s="52">
        <v>0</v>
      </c>
      <c r="Y8" s="85" t="s">
        <v>654</v>
      </c>
      <c r="Z8" s="85" t="s">
        <v>664</v>
      </c>
      <c r="AA8" s="85" t="s">
        <v>269</v>
      </c>
      <c r="AB8" s="91" t="s">
        <v>727</v>
      </c>
      <c r="AC8" s="91" t="s">
        <v>775</v>
      </c>
      <c r="AD8" s="91"/>
      <c r="AE8" s="91"/>
      <c r="AF8" s="91" t="s">
        <v>816</v>
      </c>
      <c r="AG8" s="132">
        <v>2</v>
      </c>
      <c r="AH8" s="135">
        <v>2.4096385542168677</v>
      </c>
      <c r="AI8" s="132">
        <v>1</v>
      </c>
      <c r="AJ8" s="135">
        <v>1.2048192771084338</v>
      </c>
      <c r="AK8" s="132">
        <v>0</v>
      </c>
      <c r="AL8" s="135">
        <v>0</v>
      </c>
      <c r="AM8" s="132">
        <v>80</v>
      </c>
      <c r="AN8" s="135">
        <v>96.3855421686747</v>
      </c>
      <c r="AO8" s="132">
        <v>83</v>
      </c>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8"/>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5" t="s">
        <v>615</v>
      </c>
      <c r="B2" s="91" t="s">
        <v>224</v>
      </c>
      <c r="C2" s="85">
        <f>VLOOKUP(GroupVertices[[#This Row],[Vertex]],Vertices[],MATCH("ID",Vertices[[#Headers],[Vertex]:[Vertex Content Word Count]],0),FALSE)</f>
        <v>19</v>
      </c>
    </row>
    <row r="3" spans="1:3" ht="15">
      <c r="A3" s="85" t="s">
        <v>615</v>
      </c>
      <c r="B3" s="91" t="s">
        <v>223</v>
      </c>
      <c r="C3" s="85">
        <f>VLOOKUP(GroupVertices[[#This Row],[Vertex]],Vertices[],MATCH("ID",Vertices[[#Headers],[Vertex]:[Vertex Content Word Count]],0),FALSE)</f>
        <v>13</v>
      </c>
    </row>
    <row r="4" spans="1:3" ht="15">
      <c r="A4" s="85" t="s">
        <v>615</v>
      </c>
      <c r="B4" s="91" t="s">
        <v>234</v>
      </c>
      <c r="C4" s="85">
        <f>VLOOKUP(GroupVertices[[#This Row],[Vertex]],Vertices[],MATCH("ID",Vertices[[#Headers],[Vertex]:[Vertex Content Word Count]],0),FALSE)</f>
        <v>12</v>
      </c>
    </row>
    <row r="5" spans="1:3" ht="15">
      <c r="A5" s="85" t="s">
        <v>615</v>
      </c>
      <c r="B5" s="91" t="s">
        <v>222</v>
      </c>
      <c r="C5" s="85">
        <f>VLOOKUP(GroupVertices[[#This Row],[Vertex]],Vertices[],MATCH("ID",Vertices[[#Headers],[Vertex]:[Vertex Content Word Count]],0),FALSE)</f>
        <v>18</v>
      </c>
    </row>
    <row r="6" spans="1:3" ht="15">
      <c r="A6" s="85" t="s">
        <v>615</v>
      </c>
      <c r="B6" s="91" t="s">
        <v>221</v>
      </c>
      <c r="C6" s="85">
        <f>VLOOKUP(GroupVertices[[#This Row],[Vertex]],Vertices[],MATCH("ID",Vertices[[#Headers],[Vertex]:[Vertex Content Word Count]],0),FALSE)</f>
        <v>17</v>
      </c>
    </row>
    <row r="7" spans="1:3" ht="15">
      <c r="A7" s="85" t="s">
        <v>615</v>
      </c>
      <c r="B7" s="91" t="s">
        <v>220</v>
      </c>
      <c r="C7" s="85">
        <f>VLOOKUP(GroupVertices[[#This Row],[Vertex]],Vertices[],MATCH("ID",Vertices[[#Headers],[Vertex]:[Vertex Content Word Count]],0),FALSE)</f>
        <v>16</v>
      </c>
    </row>
    <row r="8" spans="1:3" ht="15">
      <c r="A8" s="85" t="s">
        <v>615</v>
      </c>
      <c r="B8" s="91" t="s">
        <v>219</v>
      </c>
      <c r="C8" s="85">
        <f>VLOOKUP(GroupVertices[[#This Row],[Vertex]],Vertices[],MATCH("ID",Vertices[[#Headers],[Vertex]:[Vertex Content Word Count]],0),FALSE)</f>
        <v>15</v>
      </c>
    </row>
    <row r="9" spans="1:3" ht="15">
      <c r="A9" s="85" t="s">
        <v>615</v>
      </c>
      <c r="B9" s="91" t="s">
        <v>218</v>
      </c>
      <c r="C9" s="85">
        <f>VLOOKUP(GroupVertices[[#This Row],[Vertex]],Vertices[],MATCH("ID",Vertices[[#Headers],[Vertex]:[Vertex Content Word Count]],0),FALSE)</f>
        <v>14</v>
      </c>
    </row>
    <row r="10" spans="1:3" ht="15">
      <c r="A10" s="85" t="s">
        <v>615</v>
      </c>
      <c r="B10" s="91" t="s">
        <v>217</v>
      </c>
      <c r="C10" s="85">
        <f>VLOOKUP(GroupVertices[[#This Row],[Vertex]],Vertices[],MATCH("ID",Vertices[[#Headers],[Vertex]:[Vertex Content Word Count]],0),FALSE)</f>
        <v>11</v>
      </c>
    </row>
    <row r="11" spans="1:3" ht="15">
      <c r="A11" s="85" t="s">
        <v>616</v>
      </c>
      <c r="B11" s="91" t="s">
        <v>226</v>
      </c>
      <c r="C11" s="85">
        <f>VLOOKUP(GroupVertices[[#This Row],[Vertex]],Vertices[],MATCH("ID",Vertices[[#Headers],[Vertex]:[Vertex Content Word Count]],0),FALSE)</f>
        <v>21</v>
      </c>
    </row>
    <row r="12" spans="1:3" ht="15">
      <c r="A12" s="85" t="s">
        <v>616</v>
      </c>
      <c r="B12" s="91" t="s">
        <v>225</v>
      </c>
      <c r="C12" s="85">
        <f>VLOOKUP(GroupVertices[[#This Row],[Vertex]],Vertices[],MATCH("ID",Vertices[[#Headers],[Vertex]:[Vertex Content Word Count]],0),FALSE)</f>
        <v>5</v>
      </c>
    </row>
    <row r="13" spans="1:3" ht="15">
      <c r="A13" s="85" t="s">
        <v>616</v>
      </c>
      <c r="B13" s="91" t="s">
        <v>235</v>
      </c>
      <c r="C13" s="85">
        <f>VLOOKUP(GroupVertices[[#This Row],[Vertex]],Vertices[],MATCH("ID",Vertices[[#Headers],[Vertex]:[Vertex Content Word Count]],0),FALSE)</f>
        <v>20</v>
      </c>
    </row>
    <row r="14" spans="1:3" ht="15">
      <c r="A14" s="85" t="s">
        <v>616</v>
      </c>
      <c r="B14" s="91" t="s">
        <v>232</v>
      </c>
      <c r="C14" s="85">
        <f>VLOOKUP(GroupVertices[[#This Row],[Vertex]],Vertices[],MATCH("ID",Vertices[[#Headers],[Vertex]:[Vertex Content Word Count]],0),FALSE)</f>
        <v>4</v>
      </c>
    </row>
    <row r="15" spans="1:3" ht="15">
      <c r="A15" s="85" t="s">
        <v>616</v>
      </c>
      <c r="B15" s="91" t="s">
        <v>212</v>
      </c>
      <c r="C15" s="85">
        <f>VLOOKUP(GroupVertices[[#This Row],[Vertex]],Vertices[],MATCH("ID",Vertices[[#Headers],[Vertex]:[Vertex Content Word Count]],0),FALSE)</f>
        <v>3</v>
      </c>
    </row>
    <row r="16" spans="1:3" ht="15">
      <c r="A16" s="85" t="s">
        <v>617</v>
      </c>
      <c r="B16" s="91" t="s">
        <v>216</v>
      </c>
      <c r="C16" s="85">
        <f>VLOOKUP(GroupVertices[[#This Row],[Vertex]],Vertices[],MATCH("ID",Vertices[[#Headers],[Vertex]:[Vertex Content Word Count]],0),FALSE)</f>
        <v>10</v>
      </c>
    </row>
    <row r="17" spans="1:3" ht="15">
      <c r="A17" s="85" t="s">
        <v>617</v>
      </c>
      <c r="B17" s="91" t="s">
        <v>215</v>
      </c>
      <c r="C17" s="85">
        <f>VLOOKUP(GroupVertices[[#This Row],[Vertex]],Vertices[],MATCH("ID",Vertices[[#Headers],[Vertex]:[Vertex Content Word Count]],0),FALSE)</f>
        <v>8</v>
      </c>
    </row>
    <row r="18" spans="1:3" ht="15">
      <c r="A18" s="85" t="s">
        <v>617</v>
      </c>
      <c r="B18" s="91" t="s">
        <v>233</v>
      </c>
      <c r="C18" s="85">
        <f>VLOOKUP(GroupVertices[[#This Row],[Vertex]],Vertices[],MATCH("ID",Vertices[[#Headers],[Vertex]:[Vertex Content Word Count]],0),FALSE)</f>
        <v>7</v>
      </c>
    </row>
    <row r="19" spans="1:3" ht="15">
      <c r="A19" s="85" t="s">
        <v>617</v>
      </c>
      <c r="B19" s="91" t="s">
        <v>214</v>
      </c>
      <c r="C19" s="85">
        <f>VLOOKUP(GroupVertices[[#This Row],[Vertex]],Vertices[],MATCH("ID",Vertices[[#Headers],[Vertex]:[Vertex Content Word Count]],0),FALSE)</f>
        <v>9</v>
      </c>
    </row>
    <row r="20" spans="1:3" ht="15">
      <c r="A20" s="85" t="s">
        <v>617</v>
      </c>
      <c r="B20" s="91" t="s">
        <v>213</v>
      </c>
      <c r="C20" s="85">
        <f>VLOOKUP(GroupVertices[[#This Row],[Vertex]],Vertices[],MATCH("ID",Vertices[[#Headers],[Vertex]:[Vertex Content Word Count]],0),FALSE)</f>
        <v>6</v>
      </c>
    </row>
    <row r="21" spans="1:3" ht="15">
      <c r="A21" s="85" t="s">
        <v>618</v>
      </c>
      <c r="B21" s="91" t="s">
        <v>231</v>
      </c>
      <c r="C21" s="85">
        <f>VLOOKUP(GroupVertices[[#This Row],[Vertex]],Vertices[],MATCH("ID",Vertices[[#Headers],[Vertex]:[Vertex Content Word Count]],0),FALSE)</f>
        <v>29</v>
      </c>
    </row>
    <row r="22" spans="1:3" ht="15">
      <c r="A22" s="85" t="s">
        <v>618</v>
      </c>
      <c r="B22" s="91" t="s">
        <v>230</v>
      </c>
      <c r="C22" s="85">
        <f>VLOOKUP(GroupVertices[[#This Row],[Vertex]],Vertices[],MATCH("ID",Vertices[[#Headers],[Vertex]:[Vertex Content Word Count]],0),FALSE)</f>
        <v>27</v>
      </c>
    </row>
    <row r="23" spans="1:3" ht="15">
      <c r="A23" s="85" t="s">
        <v>618</v>
      </c>
      <c r="B23" s="91" t="s">
        <v>238</v>
      </c>
      <c r="C23" s="85">
        <f>VLOOKUP(GroupVertices[[#This Row],[Vertex]],Vertices[],MATCH("ID",Vertices[[#Headers],[Vertex]:[Vertex Content Word Count]],0),FALSE)</f>
        <v>28</v>
      </c>
    </row>
    <row r="24" spans="1:3" ht="15">
      <c r="A24" s="85" t="s">
        <v>619</v>
      </c>
      <c r="B24" s="91" t="s">
        <v>227</v>
      </c>
      <c r="C24" s="85">
        <f>VLOOKUP(GroupVertices[[#This Row],[Vertex]],Vertices[],MATCH("ID",Vertices[[#Headers],[Vertex]:[Vertex Content Word Count]],0),FALSE)</f>
        <v>22</v>
      </c>
    </row>
    <row r="25" spans="1:3" ht="15">
      <c r="A25" s="85" t="s">
        <v>619</v>
      </c>
      <c r="B25" s="91" t="s">
        <v>237</v>
      </c>
      <c r="C25" s="85">
        <f>VLOOKUP(GroupVertices[[#This Row],[Vertex]],Vertices[],MATCH("ID",Vertices[[#Headers],[Vertex]:[Vertex Content Word Count]],0),FALSE)</f>
        <v>24</v>
      </c>
    </row>
    <row r="26" spans="1:3" ht="15">
      <c r="A26" s="85" t="s">
        <v>619</v>
      </c>
      <c r="B26" s="91" t="s">
        <v>236</v>
      </c>
      <c r="C26" s="85">
        <f>VLOOKUP(GroupVertices[[#This Row],[Vertex]],Vertices[],MATCH("ID",Vertices[[#Headers],[Vertex]:[Vertex Content Word Count]],0),FALSE)</f>
        <v>23</v>
      </c>
    </row>
    <row r="27" spans="1:3" ht="15">
      <c r="A27" s="85" t="s">
        <v>620</v>
      </c>
      <c r="B27" s="91" t="s">
        <v>228</v>
      </c>
      <c r="C27" s="85">
        <f>VLOOKUP(GroupVertices[[#This Row],[Vertex]],Vertices[],MATCH("ID",Vertices[[#Headers],[Vertex]:[Vertex Content Word Count]],0),FALSE)</f>
        <v>25</v>
      </c>
    </row>
    <row r="28" spans="1:3" ht="15">
      <c r="A28" s="85" t="s">
        <v>620</v>
      </c>
      <c r="B28" s="91" t="s">
        <v>229</v>
      </c>
      <c r="C28" s="85">
        <f>VLOOKUP(GroupVertices[[#This Row],[Vertex]],Vertices[],MATCH("ID",Vertices[[#Headers],[Vertex]:[Vertex Content Word Count]],0),FALSE)</f>
        <v>26</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633</v>
      </c>
      <c r="B2" s="36" t="s">
        <v>576</v>
      </c>
      <c r="D2" s="33">
        <f>MIN(Vertices[Degree])</f>
        <v>0</v>
      </c>
      <c r="E2" s="3">
        <f>COUNTIF(Vertices[Degree],"&gt;= "&amp;D2)-COUNTIF(Vertices[Degree],"&gt;="&amp;D3)</f>
        <v>0</v>
      </c>
      <c r="F2" s="39">
        <f>MIN(Vertices[In-Degree])</f>
        <v>0</v>
      </c>
      <c r="G2" s="40">
        <f>COUNTIF(Vertices[In-Degree],"&gt;= "&amp;F2)-COUNTIF(Vertices[In-Degree],"&gt;="&amp;F3)</f>
        <v>13</v>
      </c>
      <c r="H2" s="39">
        <f>MIN(Vertices[Out-Degree])</f>
        <v>0</v>
      </c>
      <c r="I2" s="40">
        <f>COUNTIF(Vertices[Out-Degree],"&gt;= "&amp;H2)-COUNTIF(Vertices[Out-Degree],"&gt;="&amp;H3)</f>
        <v>7</v>
      </c>
      <c r="J2" s="39">
        <f>MIN(Vertices[Betweenness Centrality])</f>
        <v>0</v>
      </c>
      <c r="K2" s="40">
        <f>COUNTIF(Vertices[Betweenness Centrality],"&gt;= "&amp;J2)-COUNTIF(Vertices[Betweenness Centrality],"&gt;="&amp;J3)</f>
        <v>21</v>
      </c>
      <c r="L2" s="39">
        <f>MIN(Vertices[Closeness Centrality])</f>
        <v>0</v>
      </c>
      <c r="M2" s="40">
        <f>COUNTIF(Vertices[Closeness Centrality],"&gt;= "&amp;L2)-COUNTIF(Vertices[Closeness Centrality],"&gt;="&amp;L3)</f>
        <v>2</v>
      </c>
      <c r="N2" s="39">
        <f>MIN(Vertices[Eigenvector Centrality])</f>
        <v>0</v>
      </c>
      <c r="O2" s="40">
        <f>COUNTIF(Vertices[Eigenvector Centrality],"&gt;= "&amp;N2)-COUNTIF(Vertices[Eigenvector Centrality],"&gt;="&amp;N3)</f>
        <v>18</v>
      </c>
      <c r="P2" s="39">
        <f>MIN(Vertices[PageRank])</f>
        <v>0.634398</v>
      </c>
      <c r="Q2" s="40">
        <f>COUNTIF(Vertices[PageRank],"&gt;= "&amp;P2)-COUNTIF(Vertices[PageRank],"&gt;="&amp;P3)</f>
        <v>7</v>
      </c>
      <c r="R2" s="39">
        <f>MIN(Vertices[Clustering Coefficient])</f>
        <v>0</v>
      </c>
      <c r="S2" s="45">
        <f>COUNTIF(Vertices[Clustering Coefficient],"&gt;= "&amp;R2)-COUNTIF(Vertices[Clustering Coefficient],"&gt;="&amp;R3)</f>
        <v>5</v>
      </c>
      <c r="T2" s="39" t="e">
        <f ca="1">MIN(INDIRECT(DynamicFilterSourceColumnRange))</f>
        <v>#REF!</v>
      </c>
      <c r="U2" s="40" t="e">
        <f aca="true" t="shared" si="0" ref="U2:U57">COUNTIF(INDIRECT(DynamicFilterSourceColumnRange),"&gt;= "&amp;T2)-COUNTIF(INDIRECT(DynamicFilterSourceColumnRange),"&gt;="&amp;T3)</f>
        <v>#REF!</v>
      </c>
      <c r="W2" t="s">
        <v>124</v>
      </c>
      <c r="X2">
        <f>ROWS(HistogramBins[Degree Bin])-1</f>
        <v>55</v>
      </c>
    </row>
    <row r="3" spans="1:24" ht="15">
      <c r="A3" s="130"/>
      <c r="B3" s="130"/>
      <c r="D3" s="34">
        <f aca="true" t="shared" si="1" ref="D3:D26">D2+($D$57-$D$2)/BinDivisor</f>
        <v>0</v>
      </c>
      <c r="E3" s="3">
        <f>COUNTIF(Vertices[Degree],"&gt;= "&amp;D3)-COUNTIF(Vertices[Degree],"&gt;="&amp;D4)</f>
        <v>0</v>
      </c>
      <c r="F3" s="41">
        <f aca="true" t="shared" si="2" ref="F3:F26">F2+($F$57-$F$2)/BinDivisor</f>
        <v>0.14545454545454545</v>
      </c>
      <c r="G3" s="42">
        <f>COUNTIF(Vertices[In-Degree],"&gt;= "&amp;F3)-COUNTIF(Vertices[In-Degree],"&gt;="&amp;F4)</f>
        <v>0</v>
      </c>
      <c r="H3" s="41">
        <f aca="true" t="shared" si="3" ref="H3:H26">H2+($H$57-$H$2)/BinDivisor</f>
        <v>0.05454545454545454</v>
      </c>
      <c r="I3" s="42">
        <f>COUNTIF(Vertices[Out-Degree],"&gt;= "&amp;H3)-COUNTIF(Vertices[Out-Degree],"&gt;="&amp;H4)</f>
        <v>0</v>
      </c>
      <c r="J3" s="41">
        <f aca="true" t="shared" si="4" ref="J3:J26">J2+($J$57-$J$2)/BinDivisor</f>
        <v>0.38181818181818183</v>
      </c>
      <c r="K3" s="42">
        <f>COUNTIF(Vertices[Betweenness Centrality],"&gt;= "&amp;J3)-COUNTIF(Vertices[Betweenness Centrality],"&gt;="&amp;J4)</f>
        <v>0</v>
      </c>
      <c r="L3" s="41">
        <f aca="true" t="shared" si="5" ref="L3:L26">L2+($L$57-$L$2)/BinDivisor</f>
        <v>0.00909090909090909</v>
      </c>
      <c r="M3" s="42">
        <f>COUNTIF(Vertices[Closeness Centrality],"&gt;= "&amp;L3)-COUNTIF(Vertices[Closeness Centrality],"&gt;="&amp;L4)</f>
        <v>0</v>
      </c>
      <c r="N3" s="41">
        <f aca="true" t="shared" si="6" ref="N3:N26">N2+($N$57-$N$2)/BinDivisor</f>
        <v>0.0034468363636363636</v>
      </c>
      <c r="O3" s="42">
        <f>COUNTIF(Vertices[Eigenvector Centrality],"&gt;= "&amp;N3)-COUNTIF(Vertices[Eigenvector Centrality],"&gt;="&amp;N4)</f>
        <v>0</v>
      </c>
      <c r="P3" s="41">
        <f aca="true" t="shared" si="7" ref="P3:P26">P2+($P$57-$P$2)/BinDivisor</f>
        <v>0.6643094363636364</v>
      </c>
      <c r="Q3" s="42">
        <f>COUNTIF(Vertices[PageRank],"&gt;= "&amp;P3)-COUNTIF(Vertices[PageRank],"&gt;="&amp;P4)</f>
        <v>0</v>
      </c>
      <c r="R3" s="41">
        <f aca="true" t="shared" si="8" ref="R3:R26">R2+($R$57-$R$2)/BinDivisor</f>
        <v>0.01818181818181818</v>
      </c>
      <c r="S3" s="46">
        <f>COUNTIF(Vertices[Clustering Coefficient],"&gt;= "&amp;R3)-COUNTIF(Vertices[Clustering Coefficient],"&gt;="&amp;R4)</f>
        <v>0</v>
      </c>
      <c r="T3" s="41" t="e">
        <f aca="true" t="shared" si="9" ref="T3:T26">T2+($T$57-$T$2)/BinDivisor</f>
        <v>#REF!</v>
      </c>
      <c r="U3" s="42" t="e">
        <f ca="1" t="shared" si="0"/>
        <v>#REF!</v>
      </c>
      <c r="W3" t="s">
        <v>125</v>
      </c>
      <c r="X3" t="s">
        <v>85</v>
      </c>
    </row>
    <row r="4" spans="1:24" ht="15">
      <c r="A4" s="36" t="s">
        <v>146</v>
      </c>
      <c r="B4" s="36">
        <v>27</v>
      </c>
      <c r="D4" s="34">
        <f t="shared" si="1"/>
        <v>0</v>
      </c>
      <c r="E4" s="3">
        <f>COUNTIF(Vertices[Degree],"&gt;= "&amp;D4)-COUNTIF(Vertices[Degree],"&gt;="&amp;D5)</f>
        <v>0</v>
      </c>
      <c r="F4" s="39">
        <f t="shared" si="2"/>
        <v>0.2909090909090909</v>
      </c>
      <c r="G4" s="40">
        <f>COUNTIF(Vertices[In-Degree],"&gt;= "&amp;F4)-COUNTIF(Vertices[In-Degree],"&gt;="&amp;F5)</f>
        <v>0</v>
      </c>
      <c r="H4" s="39">
        <f t="shared" si="3"/>
        <v>0.10909090909090909</v>
      </c>
      <c r="I4" s="40">
        <f>COUNTIF(Vertices[Out-Degree],"&gt;= "&amp;H4)-COUNTIF(Vertices[Out-Degree],"&gt;="&amp;H5)</f>
        <v>0</v>
      </c>
      <c r="J4" s="39">
        <f t="shared" si="4"/>
        <v>0.7636363636363637</v>
      </c>
      <c r="K4" s="40">
        <f>COUNTIF(Vertices[Betweenness Centrality],"&gt;= "&amp;J4)-COUNTIF(Vertices[Betweenness Centrality],"&gt;="&amp;J5)</f>
        <v>0</v>
      </c>
      <c r="L4" s="39">
        <f t="shared" si="5"/>
        <v>0.01818181818181818</v>
      </c>
      <c r="M4" s="40">
        <f>COUNTIF(Vertices[Closeness Centrality],"&gt;= "&amp;L4)-COUNTIF(Vertices[Closeness Centrality],"&gt;="&amp;L5)</f>
        <v>0</v>
      </c>
      <c r="N4" s="39">
        <f t="shared" si="6"/>
        <v>0.006893672727272727</v>
      </c>
      <c r="O4" s="40">
        <f>COUNTIF(Vertices[Eigenvector Centrality],"&gt;= "&amp;N4)-COUNTIF(Vertices[Eigenvector Centrality],"&gt;="&amp;N5)</f>
        <v>0</v>
      </c>
      <c r="P4" s="39">
        <f t="shared" si="7"/>
        <v>0.6942208727272727</v>
      </c>
      <c r="Q4" s="40">
        <f>COUNTIF(Vertices[PageRank],"&gt;= "&amp;P4)-COUNTIF(Vertices[PageRank],"&gt;="&amp;P5)</f>
        <v>0</v>
      </c>
      <c r="R4" s="39">
        <f t="shared" si="8"/>
        <v>0.03636363636363636</v>
      </c>
      <c r="S4" s="45">
        <f>COUNTIF(Vertices[Clustering Coefficient],"&gt;= "&amp;R4)-COUNTIF(Vertices[Clustering Coefficient],"&gt;="&amp;R5)</f>
        <v>0</v>
      </c>
      <c r="T4" s="39" t="e">
        <f ca="1" t="shared" si="9"/>
        <v>#REF!</v>
      </c>
      <c r="U4" s="40" t="e">
        <f ca="1" t="shared" si="0"/>
        <v>#REF!</v>
      </c>
      <c r="W4" s="12" t="s">
        <v>126</v>
      </c>
      <c r="X4" s="12" t="s">
        <v>128</v>
      </c>
    </row>
    <row r="5" spans="1:21" ht="15">
      <c r="A5" s="130"/>
      <c r="B5" s="130"/>
      <c r="D5" s="34">
        <f t="shared" si="1"/>
        <v>0</v>
      </c>
      <c r="E5" s="3">
        <f>COUNTIF(Vertices[Degree],"&gt;= "&amp;D5)-COUNTIF(Vertices[Degree],"&gt;="&amp;D6)</f>
        <v>0</v>
      </c>
      <c r="F5" s="41">
        <f t="shared" si="2"/>
        <v>0.43636363636363634</v>
      </c>
      <c r="G5" s="42">
        <f>COUNTIF(Vertices[In-Degree],"&gt;= "&amp;F5)-COUNTIF(Vertices[In-Degree],"&gt;="&amp;F6)</f>
        <v>0</v>
      </c>
      <c r="H5" s="41">
        <f t="shared" si="3"/>
        <v>0.16363636363636364</v>
      </c>
      <c r="I5" s="42">
        <f>COUNTIF(Vertices[Out-Degree],"&gt;= "&amp;H5)-COUNTIF(Vertices[Out-Degree],"&gt;="&amp;H6)</f>
        <v>0</v>
      </c>
      <c r="J5" s="41">
        <f t="shared" si="4"/>
        <v>1.1454545454545455</v>
      </c>
      <c r="K5" s="42">
        <f>COUNTIF(Vertices[Betweenness Centrality],"&gt;= "&amp;J5)-COUNTIF(Vertices[Betweenness Centrality],"&gt;="&amp;J6)</f>
        <v>0</v>
      </c>
      <c r="L5" s="41">
        <f t="shared" si="5"/>
        <v>0.02727272727272727</v>
      </c>
      <c r="M5" s="42">
        <f>COUNTIF(Vertices[Closeness Centrality],"&gt;= "&amp;L5)-COUNTIF(Vertices[Closeness Centrality],"&gt;="&amp;L6)</f>
        <v>0</v>
      </c>
      <c r="N5" s="41">
        <f t="shared" si="6"/>
        <v>0.01034050909090909</v>
      </c>
      <c r="O5" s="42">
        <f>COUNTIF(Vertices[Eigenvector Centrality],"&gt;= "&amp;N5)-COUNTIF(Vertices[Eigenvector Centrality],"&gt;="&amp;N6)</f>
        <v>0</v>
      </c>
      <c r="P5" s="41">
        <f t="shared" si="7"/>
        <v>0.7241323090909091</v>
      </c>
      <c r="Q5" s="42">
        <f>COUNTIF(Vertices[PageRank],"&gt;= "&amp;P5)-COUNTIF(Vertices[PageRank],"&gt;="&amp;P6)</f>
        <v>3</v>
      </c>
      <c r="R5" s="41">
        <f t="shared" si="8"/>
        <v>0.05454545454545454</v>
      </c>
      <c r="S5" s="46">
        <f>COUNTIF(Vertices[Clustering Coefficient],"&gt;= "&amp;R5)-COUNTIF(Vertices[Clustering Coefficient],"&gt;="&amp;R6)</f>
        <v>0</v>
      </c>
      <c r="T5" s="41" t="e">
        <f ca="1" t="shared" si="9"/>
        <v>#REF!</v>
      </c>
      <c r="U5" s="42" t="e">
        <f ca="1" t="shared" si="0"/>
        <v>#REF!</v>
      </c>
    </row>
    <row r="6" spans="1:21" ht="15">
      <c r="A6" s="36" t="s">
        <v>148</v>
      </c>
      <c r="B6" s="36">
        <v>34</v>
      </c>
      <c r="D6" s="34">
        <f t="shared" si="1"/>
        <v>0</v>
      </c>
      <c r="E6" s="3">
        <f>COUNTIF(Vertices[Degree],"&gt;= "&amp;D6)-COUNTIF(Vertices[Degree],"&gt;="&amp;D7)</f>
        <v>0</v>
      </c>
      <c r="F6" s="39">
        <f t="shared" si="2"/>
        <v>0.5818181818181818</v>
      </c>
      <c r="G6" s="40">
        <f>COUNTIF(Vertices[In-Degree],"&gt;= "&amp;F6)-COUNTIF(Vertices[In-Degree],"&gt;="&amp;F7)</f>
        <v>0</v>
      </c>
      <c r="H6" s="39">
        <f t="shared" si="3"/>
        <v>0.21818181818181817</v>
      </c>
      <c r="I6" s="40">
        <f>COUNTIF(Vertices[Out-Degree],"&gt;= "&amp;H6)-COUNTIF(Vertices[Out-Degree],"&gt;="&amp;H7)</f>
        <v>0</v>
      </c>
      <c r="J6" s="39">
        <f t="shared" si="4"/>
        <v>1.5272727272727273</v>
      </c>
      <c r="K6" s="40">
        <f>COUNTIF(Vertices[Betweenness Centrality],"&gt;= "&amp;J6)-COUNTIF(Vertices[Betweenness Centrality],"&gt;="&amp;J7)</f>
        <v>0</v>
      </c>
      <c r="L6" s="39">
        <f t="shared" si="5"/>
        <v>0.03636363636363636</v>
      </c>
      <c r="M6" s="40">
        <f>COUNTIF(Vertices[Closeness Centrality],"&gt;= "&amp;L6)-COUNTIF(Vertices[Closeness Centrality],"&gt;="&amp;L7)</f>
        <v>0</v>
      </c>
      <c r="N6" s="39">
        <f t="shared" si="6"/>
        <v>0.013787345454545455</v>
      </c>
      <c r="O6" s="40">
        <f>COUNTIF(Vertices[Eigenvector Centrality],"&gt;= "&amp;N6)-COUNTIF(Vertices[Eigenvector Centrality],"&gt;="&amp;N7)</f>
        <v>0</v>
      </c>
      <c r="P6" s="39">
        <f t="shared" si="7"/>
        <v>0.7540437454545454</v>
      </c>
      <c r="Q6" s="40">
        <f>COUNTIF(Vertices[PageRank],"&gt;= "&amp;P6)-COUNTIF(Vertices[PageRank],"&gt;="&amp;P7)</f>
        <v>2</v>
      </c>
      <c r="R6" s="39">
        <f t="shared" si="8"/>
        <v>0.07272727272727272</v>
      </c>
      <c r="S6" s="45">
        <f>COUNTIF(Vertices[Clustering Coefficient],"&gt;= "&amp;R6)-COUNTIF(Vertices[Clustering Coefficient],"&gt;="&amp;R7)</f>
        <v>0</v>
      </c>
      <c r="T6" s="39" t="e">
        <f ca="1" t="shared" si="9"/>
        <v>#REF!</v>
      </c>
      <c r="U6" s="40" t="e">
        <f ca="1" t="shared" si="0"/>
        <v>#REF!</v>
      </c>
    </row>
    <row r="7" spans="1:21" ht="15">
      <c r="A7" s="36" t="s">
        <v>149</v>
      </c>
      <c r="B7" s="36">
        <v>7</v>
      </c>
      <c r="D7" s="34">
        <f t="shared" si="1"/>
        <v>0</v>
      </c>
      <c r="E7" s="3">
        <f>COUNTIF(Vertices[Degree],"&gt;= "&amp;D7)-COUNTIF(Vertices[Degree],"&gt;="&amp;D8)</f>
        <v>0</v>
      </c>
      <c r="F7" s="41">
        <f t="shared" si="2"/>
        <v>0.7272727272727273</v>
      </c>
      <c r="G7" s="42">
        <f>COUNTIF(Vertices[In-Degree],"&gt;= "&amp;F7)-COUNTIF(Vertices[In-Degree],"&gt;="&amp;F8)</f>
        <v>0</v>
      </c>
      <c r="H7" s="41">
        <f t="shared" si="3"/>
        <v>0.2727272727272727</v>
      </c>
      <c r="I7" s="42">
        <f>COUNTIF(Vertices[Out-Degree],"&gt;= "&amp;H7)-COUNTIF(Vertices[Out-Degree],"&gt;="&amp;H8)</f>
        <v>0</v>
      </c>
      <c r="J7" s="41">
        <f t="shared" si="4"/>
        <v>1.9090909090909092</v>
      </c>
      <c r="K7" s="42">
        <f>COUNTIF(Vertices[Betweenness Centrality],"&gt;= "&amp;J7)-COUNTIF(Vertices[Betweenness Centrality],"&gt;="&amp;J8)</f>
        <v>1</v>
      </c>
      <c r="L7" s="41">
        <f t="shared" si="5"/>
        <v>0.045454545454545456</v>
      </c>
      <c r="M7" s="42">
        <f>COUNTIF(Vertices[Closeness Centrality],"&gt;= "&amp;L7)-COUNTIF(Vertices[Closeness Centrality],"&gt;="&amp;L8)</f>
        <v>0</v>
      </c>
      <c r="N7" s="41">
        <f t="shared" si="6"/>
        <v>0.01723418181818182</v>
      </c>
      <c r="O7" s="42">
        <f>COUNTIF(Vertices[Eigenvector Centrality],"&gt;= "&amp;N7)-COUNTIF(Vertices[Eigenvector Centrality],"&gt;="&amp;N8)</f>
        <v>0</v>
      </c>
      <c r="P7" s="41">
        <f t="shared" si="7"/>
        <v>0.7839551818181818</v>
      </c>
      <c r="Q7" s="42">
        <f>COUNTIF(Vertices[PageRank],"&gt;= "&amp;P7)-COUNTIF(Vertices[PageRank],"&gt;="&amp;P8)</f>
        <v>0</v>
      </c>
      <c r="R7" s="41">
        <f t="shared" si="8"/>
        <v>0.09090909090909091</v>
      </c>
      <c r="S7" s="46">
        <f>COUNTIF(Vertices[Clustering Coefficient],"&gt;= "&amp;R7)-COUNTIF(Vertices[Clustering Coefficient],"&gt;="&amp;R8)</f>
        <v>0</v>
      </c>
      <c r="T7" s="41" t="e">
        <f ca="1" t="shared" si="9"/>
        <v>#REF!</v>
      </c>
      <c r="U7" s="42" t="e">
        <f ca="1" t="shared" si="0"/>
        <v>#REF!</v>
      </c>
    </row>
    <row r="8" spans="1:21" ht="15">
      <c r="A8" s="36" t="s">
        <v>150</v>
      </c>
      <c r="B8" s="36">
        <v>41</v>
      </c>
      <c r="D8" s="34">
        <f t="shared" si="1"/>
        <v>0</v>
      </c>
      <c r="E8" s="3">
        <f>COUNTIF(Vertices[Degree],"&gt;= "&amp;D8)-COUNTIF(Vertices[Degree],"&gt;="&amp;D9)</f>
        <v>0</v>
      </c>
      <c r="F8" s="39">
        <f t="shared" si="2"/>
        <v>0.8727272727272728</v>
      </c>
      <c r="G8" s="40">
        <f>COUNTIF(Vertices[In-Degree],"&gt;= "&amp;F8)-COUNTIF(Vertices[In-Degree],"&gt;="&amp;F9)</f>
        <v>5</v>
      </c>
      <c r="H8" s="39">
        <f t="shared" si="3"/>
        <v>0.32727272727272727</v>
      </c>
      <c r="I8" s="40">
        <f>COUNTIF(Vertices[Out-Degree],"&gt;= "&amp;H8)-COUNTIF(Vertices[Out-Degree],"&gt;="&amp;H9)</f>
        <v>0</v>
      </c>
      <c r="J8" s="39">
        <f t="shared" si="4"/>
        <v>2.290909090909091</v>
      </c>
      <c r="K8" s="40">
        <f>COUNTIF(Vertices[Betweenness Centrality],"&gt;= "&amp;J8)-COUNTIF(Vertices[Betweenness Centrality],"&gt;="&amp;J9)</f>
        <v>0</v>
      </c>
      <c r="L8" s="39">
        <f t="shared" si="5"/>
        <v>0.05454545454545455</v>
      </c>
      <c r="M8" s="40">
        <f>COUNTIF(Vertices[Closeness Centrality],"&gt;= "&amp;L8)-COUNTIF(Vertices[Closeness Centrality],"&gt;="&amp;L9)</f>
        <v>0</v>
      </c>
      <c r="N8" s="39">
        <f t="shared" si="6"/>
        <v>0.02068101818181818</v>
      </c>
      <c r="O8" s="40">
        <f>COUNTIF(Vertices[Eigenvector Centrality],"&gt;= "&amp;N8)-COUNTIF(Vertices[Eigenvector Centrality],"&gt;="&amp;N9)</f>
        <v>0</v>
      </c>
      <c r="P8" s="39">
        <f t="shared" si="7"/>
        <v>0.8138666181818182</v>
      </c>
      <c r="Q8" s="40">
        <f>COUNTIF(Vertices[PageRank],"&gt;= "&amp;P8)-COUNTIF(Vertices[PageRank],"&gt;="&amp;P9)</f>
        <v>0</v>
      </c>
      <c r="R8" s="39">
        <f t="shared" si="8"/>
        <v>0.1090909090909091</v>
      </c>
      <c r="S8" s="45">
        <f>COUNTIF(Vertices[Clustering Coefficient],"&gt;= "&amp;R8)-COUNTIF(Vertices[Clustering Coefficient],"&gt;="&amp;R9)</f>
        <v>2</v>
      </c>
      <c r="T8" s="39" t="e">
        <f ca="1" t="shared" si="9"/>
        <v>#REF!</v>
      </c>
      <c r="U8" s="40" t="e">
        <f ca="1" t="shared" si="0"/>
        <v>#REF!</v>
      </c>
    </row>
    <row r="9" spans="1:21" ht="15">
      <c r="A9" s="130"/>
      <c r="B9" s="130"/>
      <c r="D9" s="34">
        <f t="shared" si="1"/>
        <v>0</v>
      </c>
      <c r="E9" s="3">
        <f>COUNTIF(Vertices[Degree],"&gt;= "&amp;D9)-COUNTIF(Vertices[Degree],"&gt;="&amp;D10)</f>
        <v>0</v>
      </c>
      <c r="F9" s="41">
        <f t="shared" si="2"/>
        <v>1.0181818181818183</v>
      </c>
      <c r="G9" s="42">
        <f>COUNTIF(Vertices[In-Degree],"&gt;= "&amp;F9)-COUNTIF(Vertices[In-Degree],"&gt;="&amp;F10)</f>
        <v>0</v>
      </c>
      <c r="H9" s="41">
        <f t="shared" si="3"/>
        <v>0.38181818181818183</v>
      </c>
      <c r="I9" s="42">
        <f>COUNTIF(Vertices[Out-Degree],"&gt;= "&amp;H9)-COUNTIF(Vertices[Out-Degree],"&gt;="&amp;H10)</f>
        <v>0</v>
      </c>
      <c r="J9" s="41">
        <f t="shared" si="4"/>
        <v>2.672727272727273</v>
      </c>
      <c r="K9" s="42">
        <f>COUNTIF(Vertices[Betweenness Centrality],"&gt;= "&amp;J9)-COUNTIF(Vertices[Betweenness Centrality],"&gt;="&amp;J10)</f>
        <v>2</v>
      </c>
      <c r="L9" s="41">
        <f t="shared" si="5"/>
        <v>0.06363636363636364</v>
      </c>
      <c r="M9" s="42">
        <f>COUNTIF(Vertices[Closeness Centrality],"&gt;= "&amp;L9)-COUNTIF(Vertices[Closeness Centrality],"&gt;="&amp;L10)</f>
        <v>7</v>
      </c>
      <c r="N9" s="41">
        <f t="shared" si="6"/>
        <v>0.024127854545454543</v>
      </c>
      <c r="O9" s="42">
        <f>COUNTIF(Vertices[Eigenvector Centrality],"&gt;= "&amp;N9)-COUNTIF(Vertices[Eigenvector Centrality],"&gt;="&amp;N10)</f>
        <v>0</v>
      </c>
      <c r="P9" s="41">
        <f t="shared" si="7"/>
        <v>0.8437780545454545</v>
      </c>
      <c r="Q9" s="42">
        <f>COUNTIF(Vertices[PageRank],"&gt;= "&amp;P9)-COUNTIF(Vertices[PageRank],"&gt;="&amp;P10)</f>
        <v>4</v>
      </c>
      <c r="R9" s="41">
        <f t="shared" si="8"/>
        <v>0.1272727272727273</v>
      </c>
      <c r="S9" s="46">
        <f>COUNTIF(Vertices[Clustering Coefficient],"&gt;= "&amp;R9)-COUNTIF(Vertices[Clustering Coefficient],"&gt;="&amp;R10)</f>
        <v>0</v>
      </c>
      <c r="T9" s="41" t="e">
        <f ca="1" t="shared" si="9"/>
        <v>#REF!</v>
      </c>
      <c r="U9" s="42" t="e">
        <f ca="1" t="shared" si="0"/>
        <v>#REF!</v>
      </c>
    </row>
    <row r="10" spans="1:21" ht="15">
      <c r="A10" s="36" t="s">
        <v>151</v>
      </c>
      <c r="B10" s="36">
        <v>7</v>
      </c>
      <c r="D10" s="34">
        <f t="shared" si="1"/>
        <v>0</v>
      </c>
      <c r="E10" s="3">
        <f>COUNTIF(Vertices[Degree],"&gt;= "&amp;D10)-COUNTIF(Vertices[Degree],"&gt;="&amp;D11)</f>
        <v>0</v>
      </c>
      <c r="F10" s="39">
        <f t="shared" si="2"/>
        <v>1.1636363636363638</v>
      </c>
      <c r="G10" s="40">
        <f>COUNTIF(Vertices[In-Degree],"&gt;= "&amp;F10)-COUNTIF(Vertices[In-Degree],"&gt;="&amp;F11)</f>
        <v>0</v>
      </c>
      <c r="H10" s="39">
        <f t="shared" si="3"/>
        <v>0.4363636363636364</v>
      </c>
      <c r="I10" s="40">
        <f>COUNTIF(Vertices[Out-Degree],"&gt;= "&amp;H10)-COUNTIF(Vertices[Out-Degree],"&gt;="&amp;H11)</f>
        <v>0</v>
      </c>
      <c r="J10" s="39">
        <f t="shared" si="4"/>
        <v>3.0545454545454547</v>
      </c>
      <c r="K10" s="40">
        <f>COUNTIF(Vertices[Betweenness Centrality],"&gt;= "&amp;J10)-COUNTIF(Vertices[Betweenness Centrality],"&gt;="&amp;J11)</f>
        <v>0</v>
      </c>
      <c r="L10" s="39">
        <f t="shared" si="5"/>
        <v>0.07272727272727274</v>
      </c>
      <c r="M10" s="40">
        <f>COUNTIF(Vertices[Closeness Centrality],"&gt;= "&amp;L10)-COUNTIF(Vertices[Closeness Centrality],"&gt;="&amp;L11)</f>
        <v>0</v>
      </c>
      <c r="N10" s="39">
        <f t="shared" si="6"/>
        <v>0.027574690909090906</v>
      </c>
      <c r="O10" s="40">
        <f>COUNTIF(Vertices[Eigenvector Centrality],"&gt;= "&amp;N10)-COUNTIF(Vertices[Eigenvector Centrality],"&gt;="&amp;N11)</f>
        <v>0</v>
      </c>
      <c r="P10" s="39">
        <f t="shared" si="7"/>
        <v>0.8736894909090909</v>
      </c>
      <c r="Q10" s="40">
        <f>COUNTIF(Vertices[PageRank],"&gt;= "&amp;P10)-COUNTIF(Vertices[PageRank],"&gt;="&amp;P11)</f>
        <v>2</v>
      </c>
      <c r="R10" s="39">
        <f t="shared" si="8"/>
        <v>0.14545454545454548</v>
      </c>
      <c r="S10" s="45">
        <f>COUNTIF(Vertices[Clustering Coefficient],"&gt;= "&amp;R10)-COUNTIF(Vertices[Clustering Coefficient],"&gt;="&amp;R11)</f>
        <v>0</v>
      </c>
      <c r="T10" s="39" t="e">
        <f ca="1" t="shared" si="9"/>
        <v>#REF!</v>
      </c>
      <c r="U10" s="40" t="e">
        <f ca="1" t="shared" si="0"/>
        <v>#REF!</v>
      </c>
    </row>
    <row r="11" spans="1:21" ht="15">
      <c r="A11" s="130"/>
      <c r="B11" s="130"/>
      <c r="D11" s="34">
        <f t="shared" si="1"/>
        <v>0</v>
      </c>
      <c r="E11" s="3">
        <f>COUNTIF(Vertices[Degree],"&gt;= "&amp;D11)-COUNTIF(Vertices[Degree],"&gt;="&amp;D12)</f>
        <v>0</v>
      </c>
      <c r="F11" s="41">
        <f t="shared" si="2"/>
        <v>1.3090909090909093</v>
      </c>
      <c r="G11" s="42">
        <f>COUNTIF(Vertices[In-Degree],"&gt;= "&amp;F11)-COUNTIF(Vertices[In-Degree],"&gt;="&amp;F12)</f>
        <v>0</v>
      </c>
      <c r="H11" s="41">
        <f t="shared" si="3"/>
        <v>0.49090909090909096</v>
      </c>
      <c r="I11" s="42">
        <f>COUNTIF(Vertices[Out-Degree],"&gt;= "&amp;H11)-COUNTIF(Vertices[Out-Degree],"&gt;="&amp;H12)</f>
        <v>0</v>
      </c>
      <c r="J11" s="41">
        <f t="shared" si="4"/>
        <v>3.4363636363636365</v>
      </c>
      <c r="K11" s="42">
        <f>COUNTIF(Vertices[Betweenness Centrality],"&gt;= "&amp;J11)-COUNTIF(Vertices[Betweenness Centrality],"&gt;="&amp;J12)</f>
        <v>0</v>
      </c>
      <c r="L11" s="41">
        <f t="shared" si="5"/>
        <v>0.08181818181818183</v>
      </c>
      <c r="M11" s="42">
        <f>COUNTIF(Vertices[Closeness Centrality],"&gt;= "&amp;L11)-COUNTIF(Vertices[Closeness Centrality],"&gt;="&amp;L12)</f>
        <v>0</v>
      </c>
      <c r="N11" s="41">
        <f t="shared" si="6"/>
        <v>0.031021527272727268</v>
      </c>
      <c r="O11" s="42">
        <f>COUNTIF(Vertices[Eigenvector Centrality],"&gt;= "&amp;N11)-COUNTIF(Vertices[Eigenvector Centrality],"&gt;="&amp;N12)</f>
        <v>0</v>
      </c>
      <c r="P11" s="41">
        <f t="shared" si="7"/>
        <v>0.9036009272727272</v>
      </c>
      <c r="Q11" s="42">
        <f>COUNTIF(Vertices[PageRank],"&gt;= "&amp;P11)-COUNTIF(Vertices[PageRank],"&gt;="&amp;P12)</f>
        <v>0</v>
      </c>
      <c r="R11" s="41">
        <f t="shared" si="8"/>
        <v>0.16363636363636366</v>
      </c>
      <c r="S11" s="46">
        <f>COUNTIF(Vertices[Clustering Coefficient],"&gt;= "&amp;R11)-COUNTIF(Vertices[Clustering Coefficient],"&gt;="&amp;R12)</f>
        <v>1</v>
      </c>
      <c r="T11" s="41" t="e">
        <f ca="1" t="shared" si="9"/>
        <v>#REF!</v>
      </c>
      <c r="U11" s="42" t="e">
        <f ca="1" t="shared" si="0"/>
        <v>#REF!</v>
      </c>
    </row>
    <row r="12" spans="1:21" ht="15">
      <c r="A12" s="36" t="s">
        <v>170</v>
      </c>
      <c r="B12" s="36">
        <v>0.030303030303030304</v>
      </c>
      <c r="D12" s="34">
        <f t="shared" si="1"/>
        <v>0</v>
      </c>
      <c r="E12" s="3">
        <f>COUNTIF(Vertices[Degree],"&gt;= "&amp;D12)-COUNTIF(Vertices[Degree],"&gt;="&amp;D13)</f>
        <v>0</v>
      </c>
      <c r="F12" s="39">
        <f t="shared" si="2"/>
        <v>1.4545454545454548</v>
      </c>
      <c r="G12" s="40">
        <f>COUNTIF(Vertices[In-Degree],"&gt;= "&amp;F12)-COUNTIF(Vertices[In-Degree],"&gt;="&amp;F13)</f>
        <v>0</v>
      </c>
      <c r="H12" s="39">
        <f t="shared" si="3"/>
        <v>0.5454545454545455</v>
      </c>
      <c r="I12" s="40">
        <f>COUNTIF(Vertices[Out-Degree],"&gt;= "&amp;H12)-COUNTIF(Vertices[Out-Degree],"&gt;="&amp;H13)</f>
        <v>0</v>
      </c>
      <c r="J12" s="39">
        <f t="shared" si="4"/>
        <v>3.8181818181818183</v>
      </c>
      <c r="K12" s="40">
        <f>COUNTIF(Vertices[Betweenness Centrality],"&gt;= "&amp;J12)-COUNTIF(Vertices[Betweenness Centrality],"&gt;="&amp;J13)</f>
        <v>0</v>
      </c>
      <c r="L12" s="39">
        <f t="shared" si="5"/>
        <v>0.09090909090909093</v>
      </c>
      <c r="M12" s="40">
        <f>COUNTIF(Vertices[Closeness Centrality],"&gt;= "&amp;L12)-COUNTIF(Vertices[Closeness Centrality],"&gt;="&amp;L13)</f>
        <v>0</v>
      </c>
      <c r="N12" s="39">
        <f t="shared" si="6"/>
        <v>0.03446836363636363</v>
      </c>
      <c r="O12" s="40">
        <f>COUNTIF(Vertices[Eigenvector Centrality],"&gt;= "&amp;N12)-COUNTIF(Vertices[Eigenvector Centrality],"&gt;="&amp;N13)</f>
        <v>0</v>
      </c>
      <c r="P12" s="39">
        <f t="shared" si="7"/>
        <v>0.9335123636363636</v>
      </c>
      <c r="Q12" s="40">
        <f>COUNTIF(Vertices[PageRank],"&gt;= "&amp;P12)-COUNTIF(Vertices[PageRank],"&gt;="&amp;P13)</f>
        <v>0</v>
      </c>
      <c r="R12" s="39">
        <f t="shared" si="8"/>
        <v>0.18181818181818185</v>
      </c>
      <c r="S12" s="45">
        <f>COUNTIF(Vertices[Clustering Coefficient],"&gt;= "&amp;R12)-COUNTIF(Vertices[Clustering Coefficient],"&gt;="&amp;R13)</f>
        <v>0</v>
      </c>
      <c r="T12" s="39" t="e">
        <f ca="1" t="shared" si="9"/>
        <v>#REF!</v>
      </c>
      <c r="U12" s="40" t="e">
        <f ca="1" t="shared" si="0"/>
        <v>#REF!</v>
      </c>
    </row>
    <row r="13" spans="1:21" ht="15">
      <c r="A13" s="36" t="s">
        <v>171</v>
      </c>
      <c r="B13" s="36">
        <v>0.058823529411764705</v>
      </c>
      <c r="D13" s="34">
        <f t="shared" si="1"/>
        <v>0</v>
      </c>
      <c r="E13" s="3">
        <f>COUNTIF(Vertices[Degree],"&gt;= "&amp;D13)-COUNTIF(Vertices[Degree],"&gt;="&amp;D14)</f>
        <v>0</v>
      </c>
      <c r="F13" s="41">
        <f t="shared" si="2"/>
        <v>1.6000000000000003</v>
      </c>
      <c r="G13" s="42">
        <f>COUNTIF(Vertices[In-Degree],"&gt;= "&amp;F13)-COUNTIF(Vertices[In-Degree],"&gt;="&amp;F14)</f>
        <v>0</v>
      </c>
      <c r="H13" s="41">
        <f t="shared" si="3"/>
        <v>0.6000000000000001</v>
      </c>
      <c r="I13" s="42">
        <f>COUNTIF(Vertices[Out-Degree],"&gt;= "&amp;H13)-COUNTIF(Vertices[Out-Degree],"&gt;="&amp;H14)</f>
        <v>0</v>
      </c>
      <c r="J13" s="41">
        <f t="shared" si="4"/>
        <v>4.2</v>
      </c>
      <c r="K13" s="42">
        <f>COUNTIF(Vertices[Betweenness Centrality],"&gt;= "&amp;J13)-COUNTIF(Vertices[Betweenness Centrality],"&gt;="&amp;J14)</f>
        <v>0</v>
      </c>
      <c r="L13" s="41">
        <f t="shared" si="5"/>
        <v>0.10000000000000002</v>
      </c>
      <c r="M13" s="42">
        <f>COUNTIF(Vertices[Closeness Centrality],"&gt;= "&amp;L13)-COUNTIF(Vertices[Closeness Centrality],"&gt;="&amp;L14)</f>
        <v>0</v>
      </c>
      <c r="N13" s="41">
        <f t="shared" si="6"/>
        <v>0.037915199999999996</v>
      </c>
      <c r="O13" s="42">
        <f>COUNTIF(Vertices[Eigenvector Centrality],"&gt;= "&amp;N13)-COUNTIF(Vertices[Eigenvector Centrality],"&gt;="&amp;N14)</f>
        <v>0</v>
      </c>
      <c r="P13" s="41">
        <f t="shared" si="7"/>
        <v>0.9634237999999999</v>
      </c>
      <c r="Q13" s="42">
        <f>COUNTIF(Vertices[PageRank],"&gt;= "&amp;P13)-COUNTIF(Vertices[PageRank],"&gt;="&amp;P14)</f>
        <v>0</v>
      </c>
      <c r="R13" s="41">
        <f t="shared" si="8"/>
        <v>0.20000000000000004</v>
      </c>
      <c r="S13" s="46">
        <f>COUNTIF(Vertices[Clustering Coefficient],"&gt;= "&amp;R13)-COUNTIF(Vertices[Clustering Coefficient],"&gt;="&amp;R14)</f>
        <v>0</v>
      </c>
      <c r="T13" s="41" t="e">
        <f ca="1" t="shared" si="9"/>
        <v>#REF!</v>
      </c>
      <c r="U13" s="42" t="e">
        <f ca="1" t="shared" si="0"/>
        <v>#REF!</v>
      </c>
    </row>
    <row r="14" spans="1:21" ht="15">
      <c r="A14" s="130"/>
      <c r="B14" s="130"/>
      <c r="D14" s="34">
        <f t="shared" si="1"/>
        <v>0</v>
      </c>
      <c r="E14" s="3">
        <f>COUNTIF(Vertices[Degree],"&gt;= "&amp;D14)-COUNTIF(Vertices[Degree],"&gt;="&amp;D15)</f>
        <v>0</v>
      </c>
      <c r="F14" s="39">
        <f t="shared" si="2"/>
        <v>1.7454545454545458</v>
      </c>
      <c r="G14" s="40">
        <f>COUNTIF(Vertices[In-Degree],"&gt;= "&amp;F14)-COUNTIF(Vertices[In-Degree],"&gt;="&amp;F15)</f>
        <v>0</v>
      </c>
      <c r="H14" s="39">
        <f t="shared" si="3"/>
        <v>0.6545454545454547</v>
      </c>
      <c r="I14" s="40">
        <f>COUNTIF(Vertices[Out-Degree],"&gt;= "&amp;H14)-COUNTIF(Vertices[Out-Degree],"&gt;="&amp;H15)</f>
        <v>0</v>
      </c>
      <c r="J14" s="39">
        <f t="shared" si="4"/>
        <v>4.581818181818182</v>
      </c>
      <c r="K14" s="40">
        <f>COUNTIF(Vertices[Betweenness Centrality],"&gt;= "&amp;J14)-COUNTIF(Vertices[Betweenness Centrality],"&gt;="&amp;J15)</f>
        <v>0</v>
      </c>
      <c r="L14" s="39">
        <f t="shared" si="5"/>
        <v>0.10909090909090911</v>
      </c>
      <c r="M14" s="40">
        <f>COUNTIF(Vertices[Closeness Centrality],"&gt;= "&amp;L14)-COUNTIF(Vertices[Closeness Centrality],"&gt;="&amp;L15)</f>
        <v>0</v>
      </c>
      <c r="N14" s="39">
        <f t="shared" si="6"/>
        <v>0.04136203636363636</v>
      </c>
      <c r="O14" s="40">
        <f>COUNTIF(Vertices[Eigenvector Centrality],"&gt;= "&amp;N14)-COUNTIF(Vertices[Eigenvector Centrality],"&gt;="&amp;N15)</f>
        <v>0</v>
      </c>
      <c r="P14" s="39">
        <f t="shared" si="7"/>
        <v>0.9933352363636363</v>
      </c>
      <c r="Q14" s="40">
        <f>COUNTIF(Vertices[PageRank],"&gt;= "&amp;P14)-COUNTIF(Vertices[PageRank],"&gt;="&amp;P15)</f>
        <v>2</v>
      </c>
      <c r="R14" s="39">
        <f t="shared" si="8"/>
        <v>0.21818181818181823</v>
      </c>
      <c r="S14" s="45">
        <f>COUNTIF(Vertices[Clustering Coefficient],"&gt;= "&amp;R14)-COUNTIF(Vertices[Clustering Coefficient],"&gt;="&amp;R15)</f>
        <v>0</v>
      </c>
      <c r="T14" s="39" t="e">
        <f ca="1" t="shared" si="9"/>
        <v>#REF!</v>
      </c>
      <c r="U14" s="40" t="e">
        <f ca="1" t="shared" si="0"/>
        <v>#REF!</v>
      </c>
    </row>
    <row r="15" spans="1:21" ht="15">
      <c r="A15" s="36" t="s">
        <v>152</v>
      </c>
      <c r="B15" s="36">
        <v>7</v>
      </c>
      <c r="D15" s="34">
        <f t="shared" si="1"/>
        <v>0</v>
      </c>
      <c r="E15" s="3">
        <f>COUNTIF(Vertices[Degree],"&gt;= "&amp;D15)-COUNTIF(Vertices[Degree],"&gt;="&amp;D16)</f>
        <v>0</v>
      </c>
      <c r="F15" s="41">
        <f t="shared" si="2"/>
        <v>1.8909090909090913</v>
      </c>
      <c r="G15" s="42">
        <f>COUNTIF(Vertices[In-Degree],"&gt;= "&amp;F15)-COUNTIF(Vertices[In-Degree],"&gt;="&amp;F16)</f>
        <v>5</v>
      </c>
      <c r="H15" s="41">
        <f t="shared" si="3"/>
        <v>0.7090909090909092</v>
      </c>
      <c r="I15" s="42">
        <f>COUNTIF(Vertices[Out-Degree],"&gt;= "&amp;H15)-COUNTIF(Vertices[Out-Degree],"&gt;="&amp;H16)</f>
        <v>0</v>
      </c>
      <c r="J15" s="41">
        <f t="shared" si="4"/>
        <v>4.963636363636364</v>
      </c>
      <c r="K15" s="42">
        <f>COUNTIF(Vertices[Betweenness Centrality],"&gt;= "&amp;J15)-COUNTIF(Vertices[Betweenness Centrality],"&gt;="&amp;J16)</f>
        <v>0</v>
      </c>
      <c r="L15" s="41">
        <f t="shared" si="5"/>
        <v>0.11818181818181821</v>
      </c>
      <c r="M15" s="42">
        <f>COUNTIF(Vertices[Closeness Centrality],"&gt;= "&amp;L15)-COUNTIF(Vertices[Closeness Centrality],"&gt;="&amp;L16)</f>
        <v>2</v>
      </c>
      <c r="N15" s="41">
        <f t="shared" si="6"/>
        <v>0.04480887272727273</v>
      </c>
      <c r="O15" s="42">
        <f>COUNTIF(Vertices[Eigenvector Centrality],"&gt;= "&amp;N15)-COUNTIF(Vertices[Eigenvector Centrality],"&gt;="&amp;N16)</f>
        <v>0</v>
      </c>
      <c r="P15" s="41">
        <f t="shared" si="7"/>
        <v>1.0232466727272727</v>
      </c>
      <c r="Q15" s="42">
        <f>COUNTIF(Vertices[PageRank],"&gt;= "&amp;P15)-COUNTIF(Vertices[PageRank],"&gt;="&amp;P16)</f>
        <v>0</v>
      </c>
      <c r="R15" s="41">
        <f t="shared" si="8"/>
        <v>0.23636363636363641</v>
      </c>
      <c r="S15" s="46">
        <f>COUNTIF(Vertices[Clustering Coefficient],"&gt;= "&amp;R15)-COUNTIF(Vertices[Clustering Coefficient],"&gt;="&amp;R16)</f>
        <v>2</v>
      </c>
      <c r="T15" s="41" t="e">
        <f ca="1" t="shared" si="9"/>
        <v>#REF!</v>
      </c>
      <c r="U15" s="42" t="e">
        <f ca="1" t="shared" si="0"/>
        <v>#REF!</v>
      </c>
    </row>
    <row r="16" spans="1:21" ht="15">
      <c r="A16" s="36" t="s">
        <v>153</v>
      </c>
      <c r="B16" s="36">
        <v>2</v>
      </c>
      <c r="D16" s="34">
        <f t="shared" si="1"/>
        <v>0</v>
      </c>
      <c r="E16" s="3">
        <f>COUNTIF(Vertices[Degree],"&gt;= "&amp;D16)-COUNTIF(Vertices[Degree],"&gt;="&amp;D17)</f>
        <v>0</v>
      </c>
      <c r="F16" s="39">
        <f t="shared" si="2"/>
        <v>2.0363636363636366</v>
      </c>
      <c r="G16" s="40">
        <f>COUNTIF(Vertices[In-Degree],"&gt;= "&amp;F16)-COUNTIF(Vertices[In-Degree],"&gt;="&amp;F17)</f>
        <v>0</v>
      </c>
      <c r="H16" s="39">
        <f t="shared" si="3"/>
        <v>0.7636363636363638</v>
      </c>
      <c r="I16" s="40">
        <f>COUNTIF(Vertices[Out-Degree],"&gt;= "&amp;H16)-COUNTIF(Vertices[Out-Degree],"&gt;="&amp;H17)</f>
        <v>0</v>
      </c>
      <c r="J16" s="39">
        <f t="shared" si="4"/>
        <v>5.345454545454546</v>
      </c>
      <c r="K16" s="40">
        <f>COUNTIF(Vertices[Betweenness Centrality],"&gt;= "&amp;J16)-COUNTIF(Vertices[Betweenness Centrality],"&gt;="&amp;J17)</f>
        <v>0</v>
      </c>
      <c r="L16" s="39">
        <f t="shared" si="5"/>
        <v>0.1272727272727273</v>
      </c>
      <c r="M16" s="40">
        <f>COUNTIF(Vertices[Closeness Centrality],"&gt;= "&amp;L16)-COUNTIF(Vertices[Closeness Centrality],"&gt;="&amp;L17)</f>
        <v>0</v>
      </c>
      <c r="N16" s="39">
        <f t="shared" si="6"/>
        <v>0.048255709090909094</v>
      </c>
      <c r="O16" s="40">
        <f>COUNTIF(Vertices[Eigenvector Centrality],"&gt;= "&amp;N16)-COUNTIF(Vertices[Eigenvector Centrality],"&gt;="&amp;N17)</f>
        <v>0</v>
      </c>
      <c r="P16" s="39">
        <f t="shared" si="7"/>
        <v>1.053158109090909</v>
      </c>
      <c r="Q16" s="40">
        <f>COUNTIF(Vertices[PageRank],"&gt;= "&amp;P16)-COUNTIF(Vertices[PageRank],"&gt;="&amp;P17)</f>
        <v>0</v>
      </c>
      <c r="R16" s="39">
        <f t="shared" si="8"/>
        <v>0.2545454545454546</v>
      </c>
      <c r="S16" s="45">
        <f>COUNTIF(Vertices[Clustering Coefficient],"&gt;= "&amp;R16)-COUNTIF(Vertices[Clustering Coefficient],"&gt;="&amp;R17)</f>
        <v>0</v>
      </c>
      <c r="T16" s="39" t="e">
        <f ca="1" t="shared" si="9"/>
        <v>#REF!</v>
      </c>
      <c r="U16" s="40" t="e">
        <f ca="1" t="shared" si="0"/>
        <v>#REF!</v>
      </c>
    </row>
    <row r="17" spans="1:21" ht="15">
      <c r="A17" s="36" t="s">
        <v>154</v>
      </c>
      <c r="B17" s="36">
        <v>9</v>
      </c>
      <c r="D17" s="34">
        <f t="shared" si="1"/>
        <v>0</v>
      </c>
      <c r="E17" s="3">
        <f>COUNTIF(Vertices[Degree],"&gt;= "&amp;D17)-COUNTIF(Vertices[Degree],"&gt;="&amp;D18)</f>
        <v>0</v>
      </c>
      <c r="F17" s="41">
        <f t="shared" si="2"/>
        <v>2.181818181818182</v>
      </c>
      <c r="G17" s="42">
        <f>COUNTIF(Vertices[In-Degree],"&gt;= "&amp;F17)-COUNTIF(Vertices[In-Degree],"&gt;="&amp;F18)</f>
        <v>0</v>
      </c>
      <c r="H17" s="41">
        <f t="shared" si="3"/>
        <v>0.8181818181818183</v>
      </c>
      <c r="I17" s="42">
        <f>COUNTIF(Vertices[Out-Degree],"&gt;= "&amp;H17)-COUNTIF(Vertices[Out-Degree],"&gt;="&amp;H18)</f>
        <v>0</v>
      </c>
      <c r="J17" s="41">
        <f t="shared" si="4"/>
        <v>5.7272727272727275</v>
      </c>
      <c r="K17" s="42">
        <f>COUNTIF(Vertices[Betweenness Centrality],"&gt;= "&amp;J17)-COUNTIF(Vertices[Betweenness Centrality],"&gt;="&amp;J18)</f>
        <v>0</v>
      </c>
      <c r="L17" s="41">
        <f t="shared" si="5"/>
        <v>0.13636363636363638</v>
      </c>
      <c r="M17" s="42">
        <f>COUNTIF(Vertices[Closeness Centrality],"&gt;= "&amp;L17)-COUNTIF(Vertices[Closeness Centrality],"&gt;="&amp;L18)</f>
        <v>0</v>
      </c>
      <c r="N17" s="41">
        <f t="shared" si="6"/>
        <v>0.05170254545454546</v>
      </c>
      <c r="O17" s="42">
        <f>COUNTIF(Vertices[Eigenvector Centrality],"&gt;= "&amp;N17)-COUNTIF(Vertices[Eigenvector Centrality],"&gt;="&amp;N18)</f>
        <v>0</v>
      </c>
      <c r="P17" s="41">
        <f t="shared" si="7"/>
        <v>1.0830695454545454</v>
      </c>
      <c r="Q17" s="42">
        <f>COUNTIF(Vertices[PageRank],"&gt;= "&amp;P17)-COUNTIF(Vertices[PageRank],"&gt;="&amp;P18)</f>
        <v>0</v>
      </c>
      <c r="R17" s="41">
        <f t="shared" si="8"/>
        <v>0.27272727272727276</v>
      </c>
      <c r="S17" s="46">
        <f>COUNTIF(Vertices[Clustering Coefficient],"&gt;= "&amp;R17)-COUNTIF(Vertices[Clustering Coefficient],"&gt;="&amp;R18)</f>
        <v>0</v>
      </c>
      <c r="T17" s="41" t="e">
        <f ca="1" t="shared" si="9"/>
        <v>#REF!</v>
      </c>
      <c r="U17" s="42" t="e">
        <f ca="1" t="shared" si="0"/>
        <v>#REF!</v>
      </c>
    </row>
    <row r="18" spans="1:21" ht="15">
      <c r="A18" s="36" t="s">
        <v>155</v>
      </c>
      <c r="B18" s="36">
        <v>15</v>
      </c>
      <c r="D18" s="34">
        <f t="shared" si="1"/>
        <v>0</v>
      </c>
      <c r="E18" s="3">
        <f>COUNTIF(Vertices[Degree],"&gt;= "&amp;D18)-COUNTIF(Vertices[Degree],"&gt;="&amp;D19)</f>
        <v>0</v>
      </c>
      <c r="F18" s="39">
        <f t="shared" si="2"/>
        <v>2.3272727272727276</v>
      </c>
      <c r="G18" s="40">
        <f>COUNTIF(Vertices[In-Degree],"&gt;= "&amp;F18)-COUNTIF(Vertices[In-Degree],"&gt;="&amp;F19)</f>
        <v>0</v>
      </c>
      <c r="H18" s="39">
        <f t="shared" si="3"/>
        <v>0.8727272727272729</v>
      </c>
      <c r="I18" s="40">
        <f>COUNTIF(Vertices[Out-Degree],"&gt;= "&amp;H18)-COUNTIF(Vertices[Out-Degree],"&gt;="&amp;H19)</f>
        <v>0</v>
      </c>
      <c r="J18" s="39">
        <f t="shared" si="4"/>
        <v>6.109090909090909</v>
      </c>
      <c r="K18" s="40">
        <f>COUNTIF(Vertices[Betweenness Centrality],"&gt;= "&amp;J18)-COUNTIF(Vertices[Betweenness Centrality],"&gt;="&amp;J19)</f>
        <v>0</v>
      </c>
      <c r="L18" s="39">
        <f t="shared" si="5"/>
        <v>0.14545454545454548</v>
      </c>
      <c r="M18" s="40">
        <f>COUNTIF(Vertices[Closeness Centrality],"&gt;= "&amp;L18)-COUNTIF(Vertices[Closeness Centrality],"&gt;="&amp;L19)</f>
        <v>0</v>
      </c>
      <c r="N18" s="39">
        <f t="shared" si="6"/>
        <v>0.055149381818181825</v>
      </c>
      <c r="O18" s="40">
        <f>COUNTIF(Vertices[Eigenvector Centrality],"&gt;= "&amp;N18)-COUNTIF(Vertices[Eigenvector Centrality],"&gt;="&amp;N19)</f>
        <v>0</v>
      </c>
      <c r="P18" s="39">
        <f t="shared" si="7"/>
        <v>1.1129809818181817</v>
      </c>
      <c r="Q18" s="40">
        <f>COUNTIF(Vertices[PageRank],"&gt;= "&amp;P18)-COUNTIF(Vertices[PageRank],"&gt;="&amp;P19)</f>
        <v>0</v>
      </c>
      <c r="R18" s="39">
        <f t="shared" si="8"/>
        <v>0.29090909090909095</v>
      </c>
      <c r="S18" s="45">
        <f>COUNTIF(Vertices[Clustering Coefficient],"&gt;= "&amp;R18)-COUNTIF(Vertices[Clustering Coefficient],"&gt;="&amp;R19)</f>
        <v>0</v>
      </c>
      <c r="T18" s="39" t="e">
        <f ca="1" t="shared" si="9"/>
        <v>#REF!</v>
      </c>
      <c r="U18" s="40" t="e">
        <f ca="1" t="shared" si="0"/>
        <v>#REF!</v>
      </c>
    </row>
    <row r="19" spans="1:21" ht="15">
      <c r="A19" s="130"/>
      <c r="B19" s="130"/>
      <c r="D19" s="34">
        <f t="shared" si="1"/>
        <v>0</v>
      </c>
      <c r="E19" s="3">
        <f>COUNTIF(Vertices[Degree],"&gt;= "&amp;D19)-COUNTIF(Vertices[Degree],"&gt;="&amp;D20)</f>
        <v>0</v>
      </c>
      <c r="F19" s="41">
        <f t="shared" si="2"/>
        <v>2.472727272727273</v>
      </c>
      <c r="G19" s="42">
        <f>COUNTIF(Vertices[In-Degree],"&gt;= "&amp;F19)-COUNTIF(Vertices[In-Degree],"&gt;="&amp;F20)</f>
        <v>0</v>
      </c>
      <c r="H19" s="41">
        <f t="shared" si="3"/>
        <v>0.9272727272727275</v>
      </c>
      <c r="I19" s="42">
        <f>COUNTIF(Vertices[Out-Degree],"&gt;= "&amp;H19)-COUNTIF(Vertices[Out-Degree],"&gt;="&amp;H20)</f>
        <v>0</v>
      </c>
      <c r="J19" s="41">
        <f t="shared" si="4"/>
        <v>6.490909090909091</v>
      </c>
      <c r="K19" s="42">
        <f>COUNTIF(Vertices[Betweenness Centrality],"&gt;= "&amp;J19)-COUNTIF(Vertices[Betweenness Centrality],"&gt;="&amp;J20)</f>
        <v>0</v>
      </c>
      <c r="L19" s="41">
        <f t="shared" si="5"/>
        <v>0.15454545454545457</v>
      </c>
      <c r="M19" s="42">
        <f>COUNTIF(Vertices[Closeness Centrality],"&gt;= "&amp;L19)-COUNTIF(Vertices[Closeness Centrality],"&gt;="&amp;L20)</f>
        <v>0</v>
      </c>
      <c r="N19" s="41">
        <f t="shared" si="6"/>
        <v>0.05859621818181819</v>
      </c>
      <c r="O19" s="42">
        <f>COUNTIF(Vertices[Eigenvector Centrality],"&gt;= "&amp;N19)-COUNTIF(Vertices[Eigenvector Centrality],"&gt;="&amp;N20)</f>
        <v>0</v>
      </c>
      <c r="P19" s="41">
        <f t="shared" si="7"/>
        <v>1.142892418181818</v>
      </c>
      <c r="Q19" s="42">
        <f>COUNTIF(Vertices[PageRank],"&gt;= "&amp;P19)-COUNTIF(Vertices[PageRank],"&gt;="&amp;P20)</f>
        <v>0</v>
      </c>
      <c r="R19" s="41">
        <f t="shared" si="8"/>
        <v>0.30909090909090914</v>
      </c>
      <c r="S19" s="46">
        <f>COUNTIF(Vertices[Clustering Coefficient],"&gt;= "&amp;R19)-COUNTIF(Vertices[Clustering Coefficient],"&gt;="&amp;R20)</f>
        <v>0</v>
      </c>
      <c r="T19" s="41" t="e">
        <f ca="1" t="shared" si="9"/>
        <v>#REF!</v>
      </c>
      <c r="U19" s="42" t="e">
        <f ca="1" t="shared" si="0"/>
        <v>#REF!</v>
      </c>
    </row>
    <row r="20" spans="1:21" ht="15">
      <c r="A20" s="36" t="s">
        <v>156</v>
      </c>
      <c r="B20" s="36">
        <v>2</v>
      </c>
      <c r="D20" s="34">
        <f t="shared" si="1"/>
        <v>0</v>
      </c>
      <c r="E20" s="3">
        <f>COUNTIF(Vertices[Degree],"&gt;= "&amp;D20)-COUNTIF(Vertices[Degree],"&gt;="&amp;D21)</f>
        <v>0</v>
      </c>
      <c r="F20" s="39">
        <f t="shared" si="2"/>
        <v>2.6181818181818186</v>
      </c>
      <c r="G20" s="40">
        <f>COUNTIF(Vertices[In-Degree],"&gt;= "&amp;F20)-COUNTIF(Vertices[In-Degree],"&gt;="&amp;F21)</f>
        <v>0</v>
      </c>
      <c r="H20" s="39">
        <f t="shared" si="3"/>
        <v>0.981818181818182</v>
      </c>
      <c r="I20" s="40">
        <f>COUNTIF(Vertices[Out-Degree],"&gt;= "&amp;H20)-COUNTIF(Vertices[Out-Degree],"&gt;="&amp;H21)</f>
        <v>4</v>
      </c>
      <c r="J20" s="39">
        <f t="shared" si="4"/>
        <v>6.872727272727273</v>
      </c>
      <c r="K20" s="40">
        <f>COUNTIF(Vertices[Betweenness Centrality],"&gt;= "&amp;J20)-COUNTIF(Vertices[Betweenness Centrality],"&gt;="&amp;J21)</f>
        <v>0</v>
      </c>
      <c r="L20" s="39">
        <f t="shared" si="5"/>
        <v>0.16363636363636366</v>
      </c>
      <c r="M20" s="40">
        <f>COUNTIF(Vertices[Closeness Centrality],"&gt;= "&amp;L20)-COUNTIF(Vertices[Closeness Centrality],"&gt;="&amp;L21)</f>
        <v>7</v>
      </c>
      <c r="N20" s="39">
        <f t="shared" si="6"/>
        <v>0.06204305454545456</v>
      </c>
      <c r="O20" s="40">
        <f>COUNTIF(Vertices[Eigenvector Centrality],"&gt;= "&amp;N20)-COUNTIF(Vertices[Eigenvector Centrality],"&gt;="&amp;N21)</f>
        <v>0</v>
      </c>
      <c r="P20" s="39">
        <f t="shared" si="7"/>
        <v>1.1728038545454544</v>
      </c>
      <c r="Q20" s="40">
        <f>COUNTIF(Vertices[PageRank],"&gt;= "&amp;P20)-COUNTIF(Vertices[PageRank],"&gt;="&amp;P21)</f>
        <v>0</v>
      </c>
      <c r="R20" s="39">
        <f t="shared" si="8"/>
        <v>0.3272727272727273</v>
      </c>
      <c r="S20" s="45">
        <f>COUNTIF(Vertices[Clustering Coefficient],"&gt;= "&amp;R20)-COUNTIF(Vertices[Clustering Coefficient],"&gt;="&amp;R21)</f>
        <v>0</v>
      </c>
      <c r="T20" s="39" t="e">
        <f ca="1" t="shared" si="9"/>
        <v>#REF!</v>
      </c>
      <c r="U20" s="40" t="e">
        <f ca="1" t="shared" si="0"/>
        <v>#REF!</v>
      </c>
    </row>
    <row r="21" spans="1:21" ht="15">
      <c r="A21" s="36" t="s">
        <v>157</v>
      </c>
      <c r="B21" s="36">
        <v>1.205298</v>
      </c>
      <c r="D21" s="34">
        <f t="shared" si="1"/>
        <v>0</v>
      </c>
      <c r="E21" s="3">
        <f>COUNTIF(Vertices[Degree],"&gt;= "&amp;D21)-COUNTIF(Vertices[Degree],"&gt;="&amp;D22)</f>
        <v>0</v>
      </c>
      <c r="F21" s="41">
        <f t="shared" si="2"/>
        <v>2.763636363636364</v>
      </c>
      <c r="G21" s="42">
        <f>COUNTIF(Vertices[In-Degree],"&gt;= "&amp;F21)-COUNTIF(Vertices[In-Degree],"&gt;="&amp;F22)</f>
        <v>0</v>
      </c>
      <c r="H21" s="41">
        <f t="shared" si="3"/>
        <v>1.0363636363636366</v>
      </c>
      <c r="I21" s="42">
        <f>COUNTIF(Vertices[Out-Degree],"&gt;= "&amp;H21)-COUNTIF(Vertices[Out-Degree],"&gt;="&amp;H22)</f>
        <v>0</v>
      </c>
      <c r="J21" s="41">
        <f t="shared" si="4"/>
        <v>7.254545454545455</v>
      </c>
      <c r="K21" s="42">
        <f>COUNTIF(Vertices[Betweenness Centrality],"&gt;= "&amp;J21)-COUNTIF(Vertices[Betweenness Centrality],"&gt;="&amp;J22)</f>
        <v>0</v>
      </c>
      <c r="L21" s="41">
        <f t="shared" si="5"/>
        <v>0.17272727272727276</v>
      </c>
      <c r="M21" s="42">
        <f>COUNTIF(Vertices[Closeness Centrality],"&gt;= "&amp;L21)-COUNTIF(Vertices[Closeness Centrality],"&gt;="&amp;L22)</f>
        <v>0</v>
      </c>
      <c r="N21" s="41">
        <f t="shared" si="6"/>
        <v>0.06548989090909092</v>
      </c>
      <c r="O21" s="42">
        <f>COUNTIF(Vertices[Eigenvector Centrality],"&gt;= "&amp;N21)-COUNTIF(Vertices[Eigenvector Centrality],"&gt;="&amp;N22)</f>
        <v>0</v>
      </c>
      <c r="P21" s="41">
        <f t="shared" si="7"/>
        <v>1.2027152909090908</v>
      </c>
      <c r="Q21" s="42">
        <f>COUNTIF(Vertices[PageRank],"&gt;= "&amp;P21)-COUNTIF(Vertices[PageRank],"&gt;="&amp;P22)</f>
        <v>0</v>
      </c>
      <c r="R21" s="41">
        <f t="shared" si="8"/>
        <v>0.3454545454545455</v>
      </c>
      <c r="S21" s="46">
        <f>COUNTIF(Vertices[Clustering Coefficient],"&gt;= "&amp;R21)-COUNTIF(Vertices[Clustering Coefficient],"&gt;="&amp;R22)</f>
        <v>0</v>
      </c>
      <c r="T21" s="41" t="e">
        <f ca="1" t="shared" si="9"/>
        <v>#REF!</v>
      </c>
      <c r="U21" s="42" t="e">
        <f ca="1" t="shared" si="0"/>
        <v>#REF!</v>
      </c>
    </row>
    <row r="22" spans="1:21" ht="15">
      <c r="A22" s="130"/>
      <c r="B22" s="130"/>
      <c r="D22" s="34">
        <f t="shared" si="1"/>
        <v>0</v>
      </c>
      <c r="E22" s="3">
        <f>COUNTIF(Vertices[Degree],"&gt;= "&amp;D22)-COUNTIF(Vertices[Degree],"&gt;="&amp;D23)</f>
        <v>0</v>
      </c>
      <c r="F22" s="39">
        <f t="shared" si="2"/>
        <v>2.9090909090909096</v>
      </c>
      <c r="G22" s="40">
        <f>COUNTIF(Vertices[In-Degree],"&gt;= "&amp;F22)-COUNTIF(Vertices[In-Degree],"&gt;="&amp;F23)</f>
        <v>1</v>
      </c>
      <c r="H22" s="39">
        <f t="shared" si="3"/>
        <v>1.090909090909091</v>
      </c>
      <c r="I22" s="40">
        <f>COUNTIF(Vertices[Out-Degree],"&gt;= "&amp;H22)-COUNTIF(Vertices[Out-Degree],"&gt;="&amp;H23)</f>
        <v>0</v>
      </c>
      <c r="J22" s="39">
        <f t="shared" si="4"/>
        <v>7.636363636363637</v>
      </c>
      <c r="K22" s="40">
        <f>COUNTIF(Vertices[Betweenness Centrality],"&gt;= "&amp;J22)-COUNTIF(Vertices[Betweenness Centrality],"&gt;="&amp;J23)</f>
        <v>1</v>
      </c>
      <c r="L22" s="39">
        <f t="shared" si="5"/>
        <v>0.18181818181818185</v>
      </c>
      <c r="M22" s="40">
        <f>COUNTIF(Vertices[Closeness Centrality],"&gt;= "&amp;L22)-COUNTIF(Vertices[Closeness Centrality],"&gt;="&amp;L23)</f>
        <v>0</v>
      </c>
      <c r="N22" s="39">
        <f t="shared" si="6"/>
        <v>0.06893672727272729</v>
      </c>
      <c r="O22" s="40">
        <f>COUNTIF(Vertices[Eigenvector Centrality],"&gt;= "&amp;N22)-COUNTIF(Vertices[Eigenvector Centrality],"&gt;="&amp;N23)</f>
        <v>0</v>
      </c>
      <c r="P22" s="39">
        <f t="shared" si="7"/>
        <v>1.2326267272727272</v>
      </c>
      <c r="Q22" s="40">
        <f>COUNTIF(Vertices[PageRank],"&gt;= "&amp;P22)-COUNTIF(Vertices[PageRank],"&gt;="&amp;P23)</f>
        <v>1</v>
      </c>
      <c r="R22" s="39">
        <f t="shared" si="8"/>
        <v>0.3636363636363637</v>
      </c>
      <c r="S22" s="45">
        <f>COUNTIF(Vertices[Clustering Coefficient],"&gt;= "&amp;R22)-COUNTIF(Vertices[Clustering Coefficient],"&gt;="&amp;R23)</f>
        <v>0</v>
      </c>
      <c r="T22" s="39" t="e">
        <f ca="1" t="shared" si="9"/>
        <v>#REF!</v>
      </c>
      <c r="U22" s="40" t="e">
        <f ca="1" t="shared" si="0"/>
        <v>#REF!</v>
      </c>
    </row>
    <row r="23" spans="1:21" ht="15">
      <c r="A23" s="36" t="s">
        <v>158</v>
      </c>
      <c r="B23" s="36">
        <v>0.04843304843304843</v>
      </c>
      <c r="D23" s="34">
        <f t="shared" si="1"/>
        <v>0</v>
      </c>
      <c r="E23" s="3">
        <f>COUNTIF(Vertices[Degree],"&gt;= "&amp;D23)-COUNTIF(Vertices[Degree],"&gt;="&amp;D24)</f>
        <v>0</v>
      </c>
      <c r="F23" s="41">
        <f t="shared" si="2"/>
        <v>3.054545454545455</v>
      </c>
      <c r="G23" s="42">
        <f>COUNTIF(Vertices[In-Degree],"&gt;= "&amp;F23)-COUNTIF(Vertices[In-Degree],"&gt;="&amp;F24)</f>
        <v>0</v>
      </c>
      <c r="H23" s="41">
        <f t="shared" si="3"/>
        <v>1.1454545454545455</v>
      </c>
      <c r="I23" s="42">
        <f>COUNTIF(Vertices[Out-Degree],"&gt;= "&amp;H23)-COUNTIF(Vertices[Out-Degree],"&gt;="&amp;H24)</f>
        <v>0</v>
      </c>
      <c r="J23" s="41">
        <f t="shared" si="4"/>
        <v>8.01818181818182</v>
      </c>
      <c r="K23" s="42">
        <f>COUNTIF(Vertices[Betweenness Centrality],"&gt;= "&amp;J23)-COUNTIF(Vertices[Betweenness Centrality],"&gt;="&amp;J24)</f>
        <v>0</v>
      </c>
      <c r="L23" s="41">
        <f t="shared" si="5"/>
        <v>0.19090909090909094</v>
      </c>
      <c r="M23" s="42">
        <f>COUNTIF(Vertices[Closeness Centrality],"&gt;= "&amp;L23)-COUNTIF(Vertices[Closeness Centrality],"&gt;="&amp;L24)</f>
        <v>0</v>
      </c>
      <c r="N23" s="41">
        <f t="shared" si="6"/>
        <v>0.07238356363636365</v>
      </c>
      <c r="O23" s="42">
        <f>COUNTIF(Vertices[Eigenvector Centrality],"&gt;= "&amp;N23)-COUNTIF(Vertices[Eigenvector Centrality],"&gt;="&amp;N24)</f>
        <v>0</v>
      </c>
      <c r="P23" s="41">
        <f t="shared" si="7"/>
        <v>1.2625381636363635</v>
      </c>
      <c r="Q23" s="42">
        <f>COUNTIF(Vertices[PageRank],"&gt;= "&amp;P23)-COUNTIF(Vertices[PageRank],"&gt;="&amp;P24)</f>
        <v>0</v>
      </c>
      <c r="R23" s="41">
        <f t="shared" si="8"/>
        <v>0.3818181818181819</v>
      </c>
      <c r="S23" s="46">
        <f>COUNTIF(Vertices[Clustering Coefficient],"&gt;= "&amp;R23)-COUNTIF(Vertices[Clustering Coefficient],"&gt;="&amp;R24)</f>
        <v>0</v>
      </c>
      <c r="T23" s="41" t="e">
        <f ca="1" t="shared" si="9"/>
        <v>#REF!</v>
      </c>
      <c r="U23" s="42" t="e">
        <f ca="1" t="shared" si="0"/>
        <v>#REF!</v>
      </c>
    </row>
    <row r="24" spans="1:21" ht="15">
      <c r="A24" s="36" t="s">
        <v>634</v>
      </c>
      <c r="B24" s="36">
        <v>0.646788</v>
      </c>
      <c r="D24" s="34">
        <f t="shared" si="1"/>
        <v>0</v>
      </c>
      <c r="E24" s="3">
        <f>COUNTIF(Vertices[Degree],"&gt;= "&amp;D24)-COUNTIF(Vertices[Degree],"&gt;="&amp;D25)</f>
        <v>0</v>
      </c>
      <c r="F24" s="39">
        <f t="shared" si="2"/>
        <v>3.2000000000000006</v>
      </c>
      <c r="G24" s="40">
        <f>COUNTIF(Vertices[In-Degree],"&gt;= "&amp;F24)-COUNTIF(Vertices[In-Degree],"&gt;="&amp;F25)</f>
        <v>0</v>
      </c>
      <c r="H24" s="39">
        <f t="shared" si="3"/>
        <v>1.2</v>
      </c>
      <c r="I24" s="40">
        <f>COUNTIF(Vertices[Out-Degree],"&gt;= "&amp;H24)-COUNTIF(Vertices[Out-Degree],"&gt;="&amp;H25)</f>
        <v>0</v>
      </c>
      <c r="J24" s="39">
        <f t="shared" si="4"/>
        <v>8.400000000000002</v>
      </c>
      <c r="K24" s="40">
        <f>COUNTIF(Vertices[Betweenness Centrality],"&gt;= "&amp;J24)-COUNTIF(Vertices[Betweenness Centrality],"&gt;="&amp;J25)</f>
        <v>0</v>
      </c>
      <c r="L24" s="39">
        <f t="shared" si="5"/>
        <v>0.20000000000000004</v>
      </c>
      <c r="M24" s="40">
        <f>COUNTIF(Vertices[Closeness Centrality],"&gt;= "&amp;L24)-COUNTIF(Vertices[Closeness Centrality],"&gt;="&amp;L25)</f>
        <v>0</v>
      </c>
      <c r="N24" s="39">
        <f t="shared" si="6"/>
        <v>0.07583040000000002</v>
      </c>
      <c r="O24" s="40">
        <f>COUNTIF(Vertices[Eigenvector Centrality],"&gt;= "&amp;N24)-COUNTIF(Vertices[Eigenvector Centrality],"&gt;="&amp;N25)</f>
        <v>0</v>
      </c>
      <c r="P24" s="39">
        <f t="shared" si="7"/>
        <v>1.2924495999999999</v>
      </c>
      <c r="Q24" s="40">
        <f>COUNTIF(Vertices[PageRank],"&gt;= "&amp;P24)-COUNTIF(Vertices[PageRank],"&gt;="&amp;P25)</f>
        <v>0</v>
      </c>
      <c r="R24" s="39">
        <f t="shared" si="8"/>
        <v>0.4000000000000001</v>
      </c>
      <c r="S24" s="45">
        <f>COUNTIF(Vertices[Clustering Coefficient],"&gt;= "&amp;R24)-COUNTIF(Vertices[Clustering Coefficient],"&gt;="&amp;R25)</f>
        <v>0</v>
      </c>
      <c r="T24" s="39" t="e">
        <f ca="1" t="shared" si="9"/>
        <v>#REF!</v>
      </c>
      <c r="U24" s="40" t="e">
        <f ca="1" t="shared" si="0"/>
        <v>#REF!</v>
      </c>
    </row>
    <row r="25" spans="1:21" ht="15">
      <c r="A25" s="130"/>
      <c r="B25" s="130"/>
      <c r="D25" s="34">
        <f t="shared" si="1"/>
        <v>0</v>
      </c>
      <c r="E25" s="3">
        <f>COUNTIF(Vertices[Degree],"&gt;= "&amp;D25)-COUNTIF(Vertices[Degree],"&gt;="&amp;D26)</f>
        <v>0</v>
      </c>
      <c r="F25" s="41">
        <f t="shared" si="2"/>
        <v>3.345454545454546</v>
      </c>
      <c r="G25" s="42">
        <f>COUNTIF(Vertices[In-Degree],"&gt;= "&amp;F25)-COUNTIF(Vertices[In-Degree],"&gt;="&amp;F26)</f>
        <v>0</v>
      </c>
      <c r="H25" s="41">
        <f t="shared" si="3"/>
        <v>1.2545454545454544</v>
      </c>
      <c r="I25" s="42">
        <f>COUNTIF(Vertices[Out-Degree],"&gt;= "&amp;H25)-COUNTIF(Vertices[Out-Degree],"&gt;="&amp;H26)</f>
        <v>0</v>
      </c>
      <c r="J25" s="41">
        <f t="shared" si="4"/>
        <v>8.781818181818185</v>
      </c>
      <c r="K25" s="42">
        <f>COUNTIF(Vertices[Betweenness Centrality],"&gt;= "&amp;J25)-COUNTIF(Vertices[Betweenness Centrality],"&gt;="&amp;J26)</f>
        <v>0</v>
      </c>
      <c r="L25" s="41">
        <f t="shared" si="5"/>
        <v>0.20909090909090913</v>
      </c>
      <c r="M25" s="42">
        <f>COUNTIF(Vertices[Closeness Centrality],"&gt;= "&amp;L25)-COUNTIF(Vertices[Closeness Centrality],"&gt;="&amp;L26)</f>
        <v>0</v>
      </c>
      <c r="N25" s="41">
        <f t="shared" si="6"/>
        <v>0.07927723636363639</v>
      </c>
      <c r="O25" s="42">
        <f>COUNTIF(Vertices[Eigenvector Centrality],"&gt;= "&amp;N25)-COUNTIF(Vertices[Eigenvector Centrality],"&gt;="&amp;N26)</f>
        <v>0</v>
      </c>
      <c r="P25" s="41">
        <f t="shared" si="7"/>
        <v>1.3223610363636362</v>
      </c>
      <c r="Q25" s="42">
        <f>COUNTIF(Vertices[PageRank],"&gt;= "&amp;P25)-COUNTIF(Vertices[PageRank],"&gt;="&amp;P26)</f>
        <v>0</v>
      </c>
      <c r="R25" s="41">
        <f t="shared" si="8"/>
        <v>0.41818181818181827</v>
      </c>
      <c r="S25" s="46">
        <f>COUNTIF(Vertices[Clustering Coefficient],"&gt;= "&amp;R25)-COUNTIF(Vertices[Clustering Coefficient],"&gt;="&amp;R26)</f>
        <v>0</v>
      </c>
      <c r="T25" s="41" t="e">
        <f ca="1" t="shared" si="9"/>
        <v>#REF!</v>
      </c>
      <c r="U25" s="42" t="e">
        <f ca="1" t="shared" si="0"/>
        <v>#REF!</v>
      </c>
    </row>
    <row r="26" spans="1:21" ht="15">
      <c r="A26" s="36" t="s">
        <v>635</v>
      </c>
      <c r="B26" s="36" t="s">
        <v>636</v>
      </c>
      <c r="D26" s="34">
        <f t="shared" si="1"/>
        <v>0</v>
      </c>
      <c r="E26" s="3">
        <f>COUNTIF(Vertices[Degree],"&gt;= "&amp;D26)-COUNTIF(Vertices[Degree],"&gt;="&amp;D28)</f>
        <v>0</v>
      </c>
      <c r="F26" s="39">
        <f t="shared" si="2"/>
        <v>3.4909090909090916</v>
      </c>
      <c r="G26" s="40">
        <f>COUNTIF(Vertices[In-Degree],"&gt;= "&amp;F26)-COUNTIF(Vertices[In-Degree],"&gt;="&amp;F28)</f>
        <v>0</v>
      </c>
      <c r="H26" s="39">
        <f t="shared" si="3"/>
        <v>1.3090909090909089</v>
      </c>
      <c r="I26" s="40">
        <f>COUNTIF(Vertices[Out-Degree],"&gt;= "&amp;H26)-COUNTIF(Vertices[Out-Degree],"&gt;="&amp;H28)</f>
        <v>0</v>
      </c>
      <c r="J26" s="39">
        <f t="shared" si="4"/>
        <v>9.163636363636368</v>
      </c>
      <c r="K26" s="40">
        <f>COUNTIF(Vertices[Betweenness Centrality],"&gt;= "&amp;J26)-COUNTIF(Vertices[Betweenness Centrality],"&gt;="&amp;J28)</f>
        <v>0</v>
      </c>
      <c r="L26" s="39">
        <f t="shared" si="5"/>
        <v>0.21818181818181823</v>
      </c>
      <c r="M26" s="40">
        <f>COUNTIF(Vertices[Closeness Centrality],"&gt;= "&amp;L26)-COUNTIF(Vertices[Closeness Centrality],"&gt;="&amp;L28)</f>
        <v>0</v>
      </c>
      <c r="N26" s="39">
        <f t="shared" si="6"/>
        <v>0.08272407272727275</v>
      </c>
      <c r="O26" s="40">
        <f>COUNTIF(Vertices[Eigenvector Centrality],"&gt;= "&amp;N26)-COUNTIF(Vertices[Eigenvector Centrality],"&gt;="&amp;N28)</f>
        <v>0</v>
      </c>
      <c r="P26" s="39">
        <f t="shared" si="7"/>
        <v>1.3522724727272726</v>
      </c>
      <c r="Q26" s="40">
        <f>COUNTIF(Vertices[PageRank],"&gt;= "&amp;P26)-COUNTIF(Vertices[PageRank],"&gt;="&amp;P28)</f>
        <v>0</v>
      </c>
      <c r="R26" s="39">
        <f t="shared" si="8"/>
        <v>0.43636363636363645</v>
      </c>
      <c r="S26" s="45">
        <f>COUNTIF(Vertices[Clustering Coefficient],"&gt;= "&amp;R26)-COUNTIF(Vertices[Clustering Coefficient],"&gt;="&amp;R28)</f>
        <v>0</v>
      </c>
      <c r="T26" s="39" t="e">
        <f ca="1" t="shared" si="9"/>
        <v>#REF!</v>
      </c>
      <c r="U26" s="40" t="e">
        <f ca="1">COUNTIF(INDIRECT(DynamicFilterSourceColumnRange),"&gt;= "&amp;T26)-COUNTIF(INDIRECT(DynamicFilterSourceColumnRange),"&gt;="&amp;T28)</f>
        <v>#REF!</v>
      </c>
    </row>
    <row r="27" spans="4:21" ht="15">
      <c r="D27" s="34"/>
      <c r="E27" s="3">
        <f>COUNTIF(Vertices[Degree],"&gt;= "&amp;D27)-COUNTIF(Vertices[Degree],"&gt;="&amp;D28)</f>
        <v>0</v>
      </c>
      <c r="F27" s="78"/>
      <c r="G27" s="79">
        <f>COUNTIF(Vertices[In-Degree],"&gt;= "&amp;F27)-COUNTIF(Vertices[In-Degree],"&gt;="&amp;F28)</f>
        <v>-3</v>
      </c>
      <c r="H27" s="78"/>
      <c r="I27" s="79">
        <f>COUNTIF(Vertices[Out-Degree],"&gt;= "&amp;H27)-COUNTIF(Vertices[Out-Degree],"&gt;="&amp;H28)</f>
        <v>-16</v>
      </c>
      <c r="J27" s="78"/>
      <c r="K27" s="79">
        <f>COUNTIF(Vertices[Betweenness Centrality],"&gt;= "&amp;J27)-COUNTIF(Vertices[Betweenness Centrality],"&gt;="&amp;J28)</f>
        <v>-2</v>
      </c>
      <c r="L27" s="78"/>
      <c r="M27" s="79">
        <f>COUNTIF(Vertices[Closeness Centrality],"&gt;= "&amp;L27)-COUNTIF(Vertices[Closeness Centrality],"&gt;="&amp;L28)</f>
        <v>-9</v>
      </c>
      <c r="N27" s="78"/>
      <c r="O27" s="79">
        <f>COUNTIF(Vertices[Eigenvector Centrality],"&gt;= "&amp;N27)-COUNTIF(Vertices[Eigenvector Centrality],"&gt;="&amp;N28)</f>
        <v>-9</v>
      </c>
      <c r="P27" s="78"/>
      <c r="Q27" s="79">
        <f>COUNTIF(Vertices[Eigenvector Centrality],"&gt;= "&amp;P27)-COUNTIF(Vertices[Eigenvector Centrality],"&gt;="&amp;P28)</f>
        <v>0</v>
      </c>
      <c r="R27" s="78"/>
      <c r="S27" s="80">
        <f>COUNTIF(Vertices[Clustering Coefficient],"&gt;= "&amp;R27)-COUNTIF(Vertices[Clustering Coefficient],"&gt;="&amp;R28)</f>
        <v>-17</v>
      </c>
      <c r="T27" s="78"/>
      <c r="U27" s="79">
        <f ca="1">COUNTIF(Vertices[Clustering Coefficient],"&gt;= "&amp;T27)-COUNTIF(Vertices[Clustering Coefficient],"&gt;="&amp;T28)</f>
        <v>0</v>
      </c>
    </row>
    <row r="28" spans="4:21" ht="15">
      <c r="D28" s="34">
        <f>D26+($D$57-$D$2)/BinDivisor</f>
        <v>0</v>
      </c>
      <c r="E28" s="3">
        <f>COUNTIF(Vertices[Degree],"&gt;= "&amp;D28)-COUNTIF(Vertices[Degree],"&gt;="&amp;D40)</f>
        <v>0</v>
      </c>
      <c r="F28" s="41">
        <f>F26+($F$57-$F$2)/BinDivisor</f>
        <v>3.636363636363637</v>
      </c>
      <c r="G28" s="42">
        <f>COUNTIF(Vertices[In-Degree],"&gt;= "&amp;F28)-COUNTIF(Vertices[In-Degree],"&gt;="&amp;F40)</f>
        <v>0</v>
      </c>
      <c r="H28" s="41">
        <f>H26+($H$57-$H$2)/BinDivisor</f>
        <v>1.3636363636363633</v>
      </c>
      <c r="I28" s="42">
        <f>COUNTIF(Vertices[Out-Degree],"&gt;= "&amp;H28)-COUNTIF(Vertices[Out-Degree],"&gt;="&amp;H40)</f>
        <v>0</v>
      </c>
      <c r="J28" s="41">
        <f>J26+($J$57-$J$2)/BinDivisor</f>
        <v>9.54545454545455</v>
      </c>
      <c r="K28" s="42">
        <f>COUNTIF(Vertices[Betweenness Centrality],"&gt;= "&amp;J28)-COUNTIF(Vertices[Betweenness Centrality],"&gt;="&amp;J40)</f>
        <v>0</v>
      </c>
      <c r="L28" s="41">
        <f>L26+($L$57-$L$2)/BinDivisor</f>
        <v>0.22727272727272732</v>
      </c>
      <c r="M28" s="42">
        <f>COUNTIF(Vertices[Closeness Centrality],"&gt;= "&amp;L28)-COUNTIF(Vertices[Closeness Centrality],"&gt;="&amp;L40)</f>
        <v>0</v>
      </c>
      <c r="N28" s="41">
        <f>N26+($N$57-$N$2)/BinDivisor</f>
        <v>0.08617090909090912</v>
      </c>
      <c r="O28" s="42">
        <f>COUNTIF(Vertices[Eigenvector Centrality],"&gt;= "&amp;N28)-COUNTIF(Vertices[Eigenvector Centrality],"&gt;="&amp;N40)</f>
        <v>7</v>
      </c>
      <c r="P28" s="41">
        <f>P26+($P$57-$P$2)/BinDivisor</f>
        <v>1.382183909090909</v>
      </c>
      <c r="Q28" s="42">
        <f>COUNTIF(Vertices[PageRank],"&gt;= "&amp;P28)-COUNTIF(Vertices[PageRank],"&gt;="&amp;P40)</f>
        <v>2</v>
      </c>
      <c r="R28" s="41">
        <f>R26+($R$57-$R$2)/BinDivisor</f>
        <v>0.45454545454545464</v>
      </c>
      <c r="S28" s="46">
        <f>COUNTIF(Vertices[Clustering Coefficient],"&gt;= "&amp;R28)-COUNTIF(Vertices[Clustering Coefficient],"&gt;="&amp;R40)</f>
        <v>0</v>
      </c>
      <c r="T28" s="41" t="e">
        <f ca="1">T26+($T$57-$T$2)/BinDivisor</f>
        <v>#REF!</v>
      </c>
      <c r="U28" s="42" t="e">
        <f ca="1">COUNTIF(INDIRECT(DynamicFilterSourceColumnRange),"&gt;= "&amp;T28)-COUNTIF(INDIRECT(DynamicFilterSourceColumnRange),"&gt;="&amp;T40)</f>
        <v>#REF!</v>
      </c>
    </row>
    <row r="29" spans="4:21" ht="15">
      <c r="D29" s="34"/>
      <c r="E29" s="3">
        <f>COUNTIF(Vertices[Degree],"&gt;= "&amp;D29)-COUNTIF(Vertices[Degree],"&gt;="&amp;D30)</f>
        <v>0</v>
      </c>
      <c r="F29" s="78"/>
      <c r="G29" s="79">
        <f>COUNTIF(Vertices[In-Degree],"&gt;= "&amp;F29)-COUNTIF(Vertices[In-Degree],"&gt;="&amp;F30)</f>
        <v>0</v>
      </c>
      <c r="H29" s="78"/>
      <c r="I29" s="79">
        <f>COUNTIF(Vertices[Out-Degree],"&gt;= "&amp;H29)-COUNTIF(Vertices[Out-Degree],"&gt;="&amp;H30)</f>
        <v>0</v>
      </c>
      <c r="J29" s="78"/>
      <c r="K29" s="79">
        <f>COUNTIF(Vertices[Betweenness Centrality],"&gt;= "&amp;J29)-COUNTIF(Vertices[Betweenness Centrality],"&gt;="&amp;J30)</f>
        <v>0</v>
      </c>
      <c r="L29" s="78"/>
      <c r="M29" s="79">
        <f>COUNTIF(Vertices[Closeness Centrality],"&gt;= "&amp;L29)-COUNTIF(Vertices[Closeness Centrality],"&gt;="&amp;L30)</f>
        <v>0</v>
      </c>
      <c r="N29" s="78"/>
      <c r="O29" s="79">
        <f>COUNTIF(Vertices[Eigenvector Centrality],"&gt;= "&amp;N29)-COUNTIF(Vertices[Eigenvector Centrality],"&gt;="&amp;N30)</f>
        <v>0</v>
      </c>
      <c r="P29" s="78"/>
      <c r="Q29" s="79">
        <f>COUNTIF(Vertices[Eigenvector Centrality],"&gt;= "&amp;P29)-COUNTIF(Vertices[Eigenvector Centrality],"&gt;="&amp;P30)</f>
        <v>0</v>
      </c>
      <c r="R29" s="78"/>
      <c r="S29" s="80">
        <f>COUNTIF(Vertices[Clustering Coefficient],"&gt;= "&amp;R29)-COUNTIF(Vertices[Clustering Coefficient],"&gt;="&amp;R30)</f>
        <v>0</v>
      </c>
      <c r="T29" s="78"/>
      <c r="U29" s="79">
        <f>COUNTIF(Vertices[Clustering Coefficient],"&gt;= "&amp;T29)-COUNTIF(Vertices[Clustering Coefficient],"&gt;="&amp;T30)</f>
        <v>0</v>
      </c>
    </row>
    <row r="30" spans="4:21" ht="15">
      <c r="D30" s="34"/>
      <c r="E30" s="3">
        <f>COUNTIF(Vertices[Degree],"&gt;= "&amp;D30)-COUNTIF(Vertices[Degree],"&gt;="&amp;D31)</f>
        <v>0</v>
      </c>
      <c r="F30" s="78"/>
      <c r="G30" s="79">
        <f>COUNTIF(Vertices[In-Degree],"&gt;= "&amp;F30)-COUNTIF(Vertices[In-Degree],"&gt;="&amp;F31)</f>
        <v>0</v>
      </c>
      <c r="H30" s="78"/>
      <c r="I30" s="79">
        <f>COUNTIF(Vertices[Out-Degree],"&gt;= "&amp;H30)-COUNTIF(Vertices[Out-Degree],"&gt;="&amp;H31)</f>
        <v>0</v>
      </c>
      <c r="J30" s="78"/>
      <c r="K30" s="79">
        <f>COUNTIF(Vertices[Betweenness Centrality],"&gt;= "&amp;J30)-COUNTIF(Vertices[Betweenness Centrality],"&gt;="&amp;J31)</f>
        <v>0</v>
      </c>
      <c r="L30" s="78"/>
      <c r="M30" s="79">
        <f>COUNTIF(Vertices[Closeness Centrality],"&gt;= "&amp;L30)-COUNTIF(Vertices[Closeness Centrality],"&gt;="&amp;L31)</f>
        <v>0</v>
      </c>
      <c r="N30" s="78"/>
      <c r="O30" s="79">
        <f>COUNTIF(Vertices[Eigenvector Centrality],"&gt;= "&amp;N30)-COUNTIF(Vertices[Eigenvector Centrality],"&gt;="&amp;N31)</f>
        <v>0</v>
      </c>
      <c r="P30" s="78"/>
      <c r="Q30" s="79">
        <f>COUNTIF(Vertices[Eigenvector Centrality],"&gt;= "&amp;P30)-COUNTIF(Vertices[Eigenvector Centrality],"&gt;="&amp;P31)</f>
        <v>0</v>
      </c>
      <c r="R30" s="78"/>
      <c r="S30" s="80">
        <f>COUNTIF(Vertices[Clustering Coefficient],"&gt;= "&amp;R30)-COUNTIF(Vertices[Clustering Coefficient],"&gt;="&amp;R31)</f>
        <v>0</v>
      </c>
      <c r="T30" s="78"/>
      <c r="U30" s="79">
        <f>COUNTIF(Vertices[Clustering Coefficient],"&gt;= "&amp;T30)-COUNTIF(Vertices[Clustering Coefficient],"&gt;="&amp;T31)</f>
        <v>0</v>
      </c>
    </row>
    <row r="31" spans="4:21" ht="15">
      <c r="D31" s="34"/>
      <c r="E31" s="3">
        <f>COUNTIF(Vertices[Degree],"&gt;= "&amp;D31)-COUNTIF(Vertices[Degree],"&gt;="&amp;D32)</f>
        <v>0</v>
      </c>
      <c r="F31" s="78"/>
      <c r="G31" s="79">
        <f>COUNTIF(Vertices[In-Degree],"&gt;= "&amp;F31)-COUNTIF(Vertices[In-Degree],"&gt;="&amp;F32)</f>
        <v>0</v>
      </c>
      <c r="H31" s="78"/>
      <c r="I31" s="79">
        <f>COUNTIF(Vertices[Out-Degree],"&gt;= "&amp;H31)-COUNTIF(Vertices[Out-Degree],"&gt;="&amp;H32)</f>
        <v>0</v>
      </c>
      <c r="J31" s="78"/>
      <c r="K31" s="79">
        <f>COUNTIF(Vertices[Betweenness Centrality],"&gt;= "&amp;J31)-COUNTIF(Vertices[Betweenness Centrality],"&gt;="&amp;J32)</f>
        <v>0</v>
      </c>
      <c r="L31" s="78"/>
      <c r="M31" s="79">
        <f>COUNTIF(Vertices[Closeness Centrality],"&gt;= "&amp;L31)-COUNTIF(Vertices[Closeness Centrality],"&gt;="&amp;L32)</f>
        <v>0</v>
      </c>
      <c r="N31" s="78"/>
      <c r="O31" s="79">
        <f>COUNTIF(Vertices[Eigenvector Centrality],"&gt;= "&amp;N31)-COUNTIF(Vertices[Eigenvector Centrality],"&gt;="&amp;N32)</f>
        <v>0</v>
      </c>
      <c r="P31" s="78"/>
      <c r="Q31" s="79">
        <f>COUNTIF(Vertices[Eigenvector Centrality],"&gt;= "&amp;P31)-COUNTIF(Vertices[Eigenvector Centrality],"&gt;="&amp;P32)</f>
        <v>0</v>
      </c>
      <c r="R31" s="78"/>
      <c r="S31" s="80">
        <f>COUNTIF(Vertices[Clustering Coefficient],"&gt;= "&amp;R31)-COUNTIF(Vertices[Clustering Coefficient],"&gt;="&amp;R32)</f>
        <v>0</v>
      </c>
      <c r="T31" s="78"/>
      <c r="U31" s="79">
        <f>COUNTIF(Vertices[Clustering Coefficient],"&gt;= "&amp;T31)-COUNTIF(Vertices[Clustering Coefficient],"&gt;="&amp;T32)</f>
        <v>0</v>
      </c>
    </row>
    <row r="32" spans="4:21" ht="15">
      <c r="D32" s="34"/>
      <c r="E32" s="3">
        <f>COUNTIF(Vertices[Degree],"&gt;= "&amp;D32)-COUNTIF(Vertices[Degree],"&gt;="&amp;D33)</f>
        <v>0</v>
      </c>
      <c r="F32" s="78"/>
      <c r="G32" s="79">
        <f>COUNTIF(Vertices[In-Degree],"&gt;= "&amp;F32)-COUNTIF(Vertices[In-Degree],"&gt;="&amp;F33)</f>
        <v>0</v>
      </c>
      <c r="H32" s="78"/>
      <c r="I32" s="79">
        <f>COUNTIF(Vertices[Out-Degree],"&gt;= "&amp;H32)-COUNTIF(Vertices[Out-Degree],"&gt;="&amp;H33)</f>
        <v>0</v>
      </c>
      <c r="J32" s="78"/>
      <c r="K32" s="79">
        <f>COUNTIF(Vertices[Betweenness Centrality],"&gt;= "&amp;J32)-COUNTIF(Vertices[Betweenness Centrality],"&gt;="&amp;J33)</f>
        <v>0</v>
      </c>
      <c r="L32" s="78"/>
      <c r="M32" s="79">
        <f>COUNTIF(Vertices[Closeness Centrality],"&gt;= "&amp;L32)-COUNTIF(Vertices[Closeness Centrality],"&gt;="&amp;L33)</f>
        <v>0</v>
      </c>
      <c r="N32" s="78"/>
      <c r="O32" s="79">
        <f>COUNTIF(Vertices[Eigenvector Centrality],"&gt;= "&amp;N32)-COUNTIF(Vertices[Eigenvector Centrality],"&gt;="&amp;N33)</f>
        <v>0</v>
      </c>
      <c r="P32" s="78"/>
      <c r="Q32" s="79">
        <f>COUNTIF(Vertices[Eigenvector Centrality],"&gt;= "&amp;P32)-COUNTIF(Vertices[Eigenvector Centrality],"&gt;="&amp;P33)</f>
        <v>0</v>
      </c>
      <c r="R32" s="78"/>
      <c r="S32" s="80">
        <f>COUNTIF(Vertices[Clustering Coefficient],"&gt;= "&amp;R32)-COUNTIF(Vertices[Clustering Coefficient],"&gt;="&amp;R33)</f>
        <v>0</v>
      </c>
      <c r="T32" s="78"/>
      <c r="U32" s="79">
        <f>COUNTIF(Vertices[Clustering Coefficient],"&gt;= "&amp;T32)-COUNTIF(Vertices[Clustering Coefficient],"&gt;="&amp;T33)</f>
        <v>0</v>
      </c>
    </row>
    <row r="33" spans="4:21" ht="15">
      <c r="D33" s="34"/>
      <c r="E33" s="3">
        <f>COUNTIF(Vertices[Degree],"&gt;= "&amp;D33)-COUNTIF(Vertices[Degree],"&gt;="&amp;D38)</f>
        <v>0</v>
      </c>
      <c r="F33" s="78"/>
      <c r="G33" s="79">
        <f>COUNTIF(Vertices[In-Degree],"&gt;= "&amp;F33)-COUNTIF(Vertices[In-Degree],"&gt;="&amp;F38)</f>
        <v>0</v>
      </c>
      <c r="H33" s="78"/>
      <c r="I33" s="79">
        <f>COUNTIF(Vertices[Out-Degree],"&gt;= "&amp;H33)-COUNTIF(Vertices[Out-Degree],"&gt;="&amp;H38)</f>
        <v>0</v>
      </c>
      <c r="J33" s="78"/>
      <c r="K33" s="79">
        <f>COUNTIF(Vertices[Betweenness Centrality],"&gt;= "&amp;J33)-COUNTIF(Vertices[Betweenness Centrality],"&gt;="&amp;J38)</f>
        <v>0</v>
      </c>
      <c r="L33" s="78"/>
      <c r="M33" s="79">
        <f>COUNTIF(Vertices[Closeness Centrality],"&gt;= "&amp;L33)-COUNTIF(Vertices[Closeness Centrality],"&gt;="&amp;L38)</f>
        <v>0</v>
      </c>
      <c r="N33" s="78"/>
      <c r="O33" s="79">
        <f>COUNTIF(Vertices[Eigenvector Centrality],"&gt;= "&amp;N33)-COUNTIF(Vertices[Eigenvector Centrality],"&gt;="&amp;N38)</f>
        <v>0</v>
      </c>
      <c r="P33" s="78"/>
      <c r="Q33" s="79">
        <f>COUNTIF(Vertices[Eigenvector Centrality],"&gt;= "&amp;P33)-COUNTIF(Vertices[Eigenvector Centrality],"&gt;="&amp;P38)</f>
        <v>0</v>
      </c>
      <c r="R33" s="78"/>
      <c r="S33" s="80">
        <f>COUNTIF(Vertices[Clustering Coefficient],"&gt;= "&amp;R33)-COUNTIF(Vertices[Clustering Coefficient],"&gt;="&amp;R38)</f>
        <v>0</v>
      </c>
      <c r="T33" s="78"/>
      <c r="U33" s="79">
        <f>COUNTIF(Vertices[Clustering Coefficient],"&gt;= "&amp;T33)-COUNTIF(Vertices[Clustering Coefficient],"&gt;="&amp;T38)</f>
        <v>0</v>
      </c>
    </row>
    <row r="34" spans="4:21" ht="15">
      <c r="D34" s="34"/>
      <c r="E34" s="3">
        <f>COUNTIF(Vertices[Degree],"&gt;= "&amp;D34)-COUNTIF(Vertices[Degree],"&gt;="&amp;D35)</f>
        <v>0</v>
      </c>
      <c r="F34" s="78"/>
      <c r="G34" s="79">
        <f>COUNTIF(Vertices[In-Degree],"&gt;= "&amp;F34)-COUNTIF(Vertices[In-Degree],"&gt;="&amp;F35)</f>
        <v>0</v>
      </c>
      <c r="H34" s="78"/>
      <c r="I34" s="79">
        <f>COUNTIF(Vertices[Out-Degree],"&gt;= "&amp;H34)-COUNTIF(Vertices[Out-Degree],"&gt;="&amp;H35)</f>
        <v>0</v>
      </c>
      <c r="J34" s="78"/>
      <c r="K34" s="79">
        <f>COUNTIF(Vertices[Betweenness Centrality],"&gt;= "&amp;J34)-COUNTIF(Vertices[Betweenness Centrality],"&gt;="&amp;J35)</f>
        <v>0</v>
      </c>
      <c r="L34" s="78"/>
      <c r="M34" s="79">
        <f>COUNTIF(Vertices[Closeness Centrality],"&gt;= "&amp;L34)-COUNTIF(Vertices[Closeness Centrality],"&gt;="&amp;L35)</f>
        <v>0</v>
      </c>
      <c r="N34" s="78"/>
      <c r="O34" s="79">
        <f>COUNTIF(Vertices[Eigenvector Centrality],"&gt;= "&amp;N34)-COUNTIF(Vertices[Eigenvector Centrality],"&gt;="&amp;N35)</f>
        <v>0</v>
      </c>
      <c r="P34" s="78"/>
      <c r="Q34" s="79">
        <f>COUNTIF(Vertices[Eigenvector Centrality],"&gt;= "&amp;P34)-COUNTIF(Vertices[Eigenvector Centrality],"&gt;="&amp;P35)</f>
        <v>0</v>
      </c>
      <c r="R34" s="78"/>
      <c r="S34" s="80">
        <f>COUNTIF(Vertices[Clustering Coefficient],"&gt;= "&amp;R34)-COUNTIF(Vertices[Clustering Coefficient],"&gt;="&amp;R35)</f>
        <v>0</v>
      </c>
      <c r="T34" s="78"/>
      <c r="U34" s="79">
        <f>COUNTIF(Vertices[Clustering Coefficient],"&gt;= "&amp;T34)-COUNTIF(Vertices[Clustering Coefficient],"&gt;="&amp;T35)</f>
        <v>0</v>
      </c>
    </row>
    <row r="35" spans="4:21" ht="15">
      <c r="D35" s="34"/>
      <c r="E35" s="3">
        <f>COUNTIF(Vertices[Degree],"&gt;= "&amp;D35)-COUNTIF(Vertices[Degree],"&gt;="&amp;D36)</f>
        <v>0</v>
      </c>
      <c r="F35" s="78"/>
      <c r="G35" s="79">
        <f>COUNTIF(Vertices[In-Degree],"&gt;= "&amp;F35)-COUNTIF(Vertices[In-Degree],"&gt;="&amp;F36)</f>
        <v>0</v>
      </c>
      <c r="H35" s="78"/>
      <c r="I35" s="79">
        <f>COUNTIF(Vertices[Out-Degree],"&gt;= "&amp;H35)-COUNTIF(Vertices[Out-Degree],"&gt;="&amp;H36)</f>
        <v>0</v>
      </c>
      <c r="J35" s="78"/>
      <c r="K35" s="79">
        <f>COUNTIF(Vertices[Betweenness Centrality],"&gt;= "&amp;J35)-COUNTIF(Vertices[Betweenness Centrality],"&gt;="&amp;J36)</f>
        <v>0</v>
      </c>
      <c r="L35" s="78"/>
      <c r="M35" s="79">
        <f>COUNTIF(Vertices[Closeness Centrality],"&gt;= "&amp;L35)-COUNTIF(Vertices[Closeness Centrality],"&gt;="&amp;L36)</f>
        <v>0</v>
      </c>
      <c r="N35" s="78"/>
      <c r="O35" s="79">
        <f>COUNTIF(Vertices[Eigenvector Centrality],"&gt;= "&amp;N35)-COUNTIF(Vertices[Eigenvector Centrality],"&gt;="&amp;N36)</f>
        <v>0</v>
      </c>
      <c r="P35" s="78"/>
      <c r="Q35" s="79">
        <f>COUNTIF(Vertices[Eigenvector Centrality],"&gt;= "&amp;P35)-COUNTIF(Vertices[Eigenvector Centrality],"&gt;="&amp;P36)</f>
        <v>0</v>
      </c>
      <c r="R35" s="78"/>
      <c r="S35" s="80">
        <f>COUNTIF(Vertices[Clustering Coefficient],"&gt;= "&amp;R35)-COUNTIF(Vertices[Clustering Coefficient],"&gt;="&amp;R36)</f>
        <v>0</v>
      </c>
      <c r="T35" s="78"/>
      <c r="U35" s="79">
        <f>COUNTIF(Vertices[Clustering Coefficient],"&gt;= "&amp;T35)-COUNTIF(Vertices[Clustering Coefficient],"&gt;="&amp;T36)</f>
        <v>0</v>
      </c>
    </row>
    <row r="36" spans="4:21" ht="15">
      <c r="D36" s="34"/>
      <c r="E36" s="3">
        <f>COUNTIF(Vertices[Degree],"&gt;= "&amp;D36)-COUNTIF(Vertices[Degree],"&gt;="&amp;D37)</f>
        <v>0</v>
      </c>
      <c r="F36" s="78"/>
      <c r="G36" s="79">
        <f>COUNTIF(Vertices[In-Degree],"&gt;= "&amp;F36)-COUNTIF(Vertices[In-Degree],"&gt;="&amp;F37)</f>
        <v>0</v>
      </c>
      <c r="H36" s="78"/>
      <c r="I36" s="79">
        <f>COUNTIF(Vertices[Out-Degree],"&gt;= "&amp;H36)-COUNTIF(Vertices[Out-Degree],"&gt;="&amp;H37)</f>
        <v>0</v>
      </c>
      <c r="J36" s="78"/>
      <c r="K36" s="79">
        <f>COUNTIF(Vertices[Betweenness Centrality],"&gt;= "&amp;J36)-COUNTIF(Vertices[Betweenness Centrality],"&gt;="&amp;J37)</f>
        <v>0</v>
      </c>
      <c r="L36" s="78"/>
      <c r="M36" s="79">
        <f>COUNTIF(Vertices[Closeness Centrality],"&gt;= "&amp;L36)-COUNTIF(Vertices[Closeness Centrality],"&gt;="&amp;L37)</f>
        <v>0</v>
      </c>
      <c r="N36" s="78"/>
      <c r="O36" s="79">
        <f>COUNTIF(Vertices[Eigenvector Centrality],"&gt;= "&amp;N36)-COUNTIF(Vertices[Eigenvector Centrality],"&gt;="&amp;N37)</f>
        <v>0</v>
      </c>
      <c r="P36" s="78"/>
      <c r="Q36" s="79">
        <f>COUNTIF(Vertices[Eigenvector Centrality],"&gt;= "&amp;P36)-COUNTIF(Vertices[Eigenvector Centrality],"&gt;="&amp;P37)</f>
        <v>0</v>
      </c>
      <c r="R36" s="78"/>
      <c r="S36" s="80">
        <f>COUNTIF(Vertices[Clustering Coefficient],"&gt;= "&amp;R36)-COUNTIF(Vertices[Clustering Coefficient],"&gt;="&amp;R37)</f>
        <v>0</v>
      </c>
      <c r="T36" s="78"/>
      <c r="U36" s="79">
        <f>COUNTIF(Vertices[Clustering Coefficient],"&gt;= "&amp;T36)-COUNTIF(Vertices[Clustering Coefficient],"&gt;="&amp;T37)</f>
        <v>0</v>
      </c>
    </row>
    <row r="37" spans="4:21" ht="15">
      <c r="D37" s="34"/>
      <c r="E37" s="3">
        <f>COUNTIF(Vertices[Degree],"&gt;= "&amp;D37)-COUNTIF(Vertices[Degree],"&gt;="&amp;D38)</f>
        <v>0</v>
      </c>
      <c r="F37" s="78"/>
      <c r="G37" s="79">
        <f>COUNTIF(Vertices[In-Degree],"&gt;= "&amp;F37)-COUNTIF(Vertices[In-Degree],"&gt;="&amp;F38)</f>
        <v>0</v>
      </c>
      <c r="H37" s="78"/>
      <c r="I37" s="79">
        <f>COUNTIF(Vertices[Out-Degree],"&gt;= "&amp;H37)-COUNTIF(Vertices[Out-Degree],"&gt;="&amp;H38)</f>
        <v>0</v>
      </c>
      <c r="J37" s="78"/>
      <c r="K37" s="79">
        <f>COUNTIF(Vertices[Betweenness Centrality],"&gt;= "&amp;J37)-COUNTIF(Vertices[Betweenness Centrality],"&gt;="&amp;J38)</f>
        <v>0</v>
      </c>
      <c r="L37" s="78"/>
      <c r="M37" s="79">
        <f>COUNTIF(Vertices[Closeness Centrality],"&gt;= "&amp;L37)-COUNTIF(Vertices[Closeness Centrality],"&gt;="&amp;L38)</f>
        <v>0</v>
      </c>
      <c r="N37" s="78"/>
      <c r="O37" s="79">
        <f>COUNTIF(Vertices[Eigenvector Centrality],"&gt;= "&amp;N37)-COUNTIF(Vertices[Eigenvector Centrality],"&gt;="&amp;N38)</f>
        <v>0</v>
      </c>
      <c r="P37" s="78"/>
      <c r="Q37" s="79">
        <f>COUNTIF(Vertices[Eigenvector Centrality],"&gt;= "&amp;P37)-COUNTIF(Vertices[Eigenvector Centrality],"&gt;="&amp;P38)</f>
        <v>0</v>
      </c>
      <c r="R37" s="78"/>
      <c r="S37" s="80">
        <f>COUNTIF(Vertices[Clustering Coefficient],"&gt;= "&amp;R37)-COUNTIF(Vertices[Clustering Coefficient],"&gt;="&amp;R38)</f>
        <v>0</v>
      </c>
      <c r="T37" s="78"/>
      <c r="U37" s="79">
        <f>COUNTIF(Vertices[Clustering Coefficient],"&gt;= "&amp;T37)-COUNTIF(Vertices[Clustering Coefficient],"&gt;="&amp;T38)</f>
        <v>0</v>
      </c>
    </row>
    <row r="38" spans="4:21" ht="15">
      <c r="D38" s="34"/>
      <c r="E38" s="3">
        <f>COUNTIF(Vertices[Degree],"&gt;= "&amp;D38)-COUNTIF(Vertices[Degree],"&gt;="&amp;D40)</f>
        <v>0</v>
      </c>
      <c r="F38" s="78"/>
      <c r="G38" s="79">
        <f>COUNTIF(Vertices[In-Degree],"&gt;= "&amp;F38)-COUNTIF(Vertices[In-Degree],"&gt;="&amp;F40)</f>
        <v>-3</v>
      </c>
      <c r="H38" s="78"/>
      <c r="I38" s="79">
        <f>COUNTIF(Vertices[Out-Degree],"&gt;= "&amp;H38)-COUNTIF(Vertices[Out-Degree],"&gt;="&amp;H40)</f>
        <v>-16</v>
      </c>
      <c r="J38" s="78"/>
      <c r="K38" s="79">
        <f>COUNTIF(Vertices[Betweenness Centrality],"&gt;= "&amp;J38)-COUNTIF(Vertices[Betweenness Centrality],"&gt;="&amp;J40)</f>
        <v>-2</v>
      </c>
      <c r="L38" s="78"/>
      <c r="M38" s="79">
        <f>COUNTIF(Vertices[Closeness Centrality],"&gt;= "&amp;L38)-COUNTIF(Vertices[Closeness Centrality],"&gt;="&amp;L40)</f>
        <v>-9</v>
      </c>
      <c r="N38" s="78"/>
      <c r="O38" s="79">
        <f>COUNTIF(Vertices[Eigenvector Centrality],"&gt;= "&amp;N38)-COUNTIF(Vertices[Eigenvector Centrality],"&gt;="&amp;N40)</f>
        <v>-2</v>
      </c>
      <c r="P38" s="78"/>
      <c r="Q38" s="79">
        <f>COUNTIF(Vertices[Eigenvector Centrality],"&gt;= "&amp;P38)-COUNTIF(Vertices[Eigenvector Centrality],"&gt;="&amp;P40)</f>
        <v>0</v>
      </c>
      <c r="R38" s="78"/>
      <c r="S38" s="80">
        <f>COUNTIF(Vertices[Clustering Coefficient],"&gt;= "&amp;R38)-COUNTIF(Vertices[Clustering Coefficient],"&gt;="&amp;R40)</f>
        <v>-17</v>
      </c>
      <c r="T38" s="78"/>
      <c r="U38" s="79">
        <f ca="1">COUNTIF(Vertices[Clustering Coefficient],"&gt;= "&amp;T38)-COUNTIF(Vertices[Clustering Coefficient],"&gt;="&amp;T40)</f>
        <v>0</v>
      </c>
    </row>
    <row r="39" spans="4:21" ht="15">
      <c r="D39" s="34"/>
      <c r="E39" s="3">
        <f>COUNTIF(Vertices[Degree],"&gt;= "&amp;D39)-COUNTIF(Vertices[Degree],"&gt;="&amp;D40)</f>
        <v>0</v>
      </c>
      <c r="F39" s="78"/>
      <c r="G39" s="79">
        <f>COUNTIF(Vertices[In-Degree],"&gt;= "&amp;F39)-COUNTIF(Vertices[In-Degree],"&gt;="&amp;F40)</f>
        <v>-3</v>
      </c>
      <c r="H39" s="78"/>
      <c r="I39" s="79">
        <f>COUNTIF(Vertices[Out-Degree],"&gt;= "&amp;H39)-COUNTIF(Vertices[Out-Degree],"&gt;="&amp;H40)</f>
        <v>-16</v>
      </c>
      <c r="J39" s="78"/>
      <c r="K39" s="79">
        <f>COUNTIF(Vertices[Betweenness Centrality],"&gt;= "&amp;J39)-COUNTIF(Vertices[Betweenness Centrality],"&gt;="&amp;J40)</f>
        <v>-2</v>
      </c>
      <c r="L39" s="78"/>
      <c r="M39" s="79">
        <f>COUNTIF(Vertices[Closeness Centrality],"&gt;= "&amp;L39)-COUNTIF(Vertices[Closeness Centrality],"&gt;="&amp;L40)</f>
        <v>-9</v>
      </c>
      <c r="N39" s="78"/>
      <c r="O39" s="79">
        <f>COUNTIF(Vertices[Eigenvector Centrality],"&gt;= "&amp;N39)-COUNTIF(Vertices[Eigenvector Centrality],"&gt;="&amp;N40)</f>
        <v>-2</v>
      </c>
      <c r="P39" s="78"/>
      <c r="Q39" s="79">
        <f>COUNTIF(Vertices[Eigenvector Centrality],"&gt;= "&amp;P39)-COUNTIF(Vertices[Eigenvector Centrality],"&gt;="&amp;P40)</f>
        <v>0</v>
      </c>
      <c r="R39" s="78"/>
      <c r="S39" s="80">
        <f>COUNTIF(Vertices[Clustering Coefficient],"&gt;= "&amp;R39)-COUNTIF(Vertices[Clustering Coefficient],"&gt;="&amp;R40)</f>
        <v>-17</v>
      </c>
      <c r="T39" s="78"/>
      <c r="U39" s="79">
        <f ca="1">COUNTIF(Vertices[Clustering Coefficient],"&gt;= "&amp;T39)-COUNTIF(Vertices[Clustering Coefficient],"&gt;="&amp;T40)</f>
        <v>0</v>
      </c>
    </row>
    <row r="40" spans="4:21" ht="15">
      <c r="D40" s="34">
        <f>D28+($D$57-$D$2)/BinDivisor</f>
        <v>0</v>
      </c>
      <c r="E40" s="3">
        <f>COUNTIF(Vertices[Degree],"&gt;= "&amp;D40)-COUNTIF(Vertices[Degree],"&gt;="&amp;D41)</f>
        <v>0</v>
      </c>
      <c r="F40" s="39">
        <f>F28+($F$57-$F$2)/BinDivisor</f>
        <v>3.7818181818181826</v>
      </c>
      <c r="G40" s="40">
        <f>COUNTIF(Vertices[In-Degree],"&gt;= "&amp;F40)-COUNTIF(Vertices[In-Degree],"&gt;="&amp;F41)</f>
        <v>0</v>
      </c>
      <c r="H40" s="39">
        <f>H28+($H$57-$H$2)/BinDivisor</f>
        <v>1.4181818181818178</v>
      </c>
      <c r="I40" s="40">
        <f>COUNTIF(Vertices[Out-Degree],"&gt;= "&amp;H40)-COUNTIF(Vertices[Out-Degree],"&gt;="&amp;H41)</f>
        <v>0</v>
      </c>
      <c r="J40" s="39">
        <f>J28+($J$57-$J$2)/BinDivisor</f>
        <v>9.927272727272733</v>
      </c>
      <c r="K40" s="40">
        <f>COUNTIF(Vertices[Betweenness Centrality],"&gt;= "&amp;J40)-COUNTIF(Vertices[Betweenness Centrality],"&gt;="&amp;J41)</f>
        <v>0</v>
      </c>
      <c r="L40" s="39">
        <f>L28+($L$57-$L$2)/BinDivisor</f>
        <v>0.23636363636363641</v>
      </c>
      <c r="M40" s="40">
        <f>COUNTIF(Vertices[Closeness Centrality],"&gt;= "&amp;L40)-COUNTIF(Vertices[Closeness Centrality],"&gt;="&amp;L41)</f>
        <v>0</v>
      </c>
      <c r="N40" s="39">
        <f>N28+($N$57-$N$2)/BinDivisor</f>
        <v>0.08961774545454548</v>
      </c>
      <c r="O40" s="40">
        <f>COUNTIF(Vertices[Eigenvector Centrality],"&gt;= "&amp;N40)-COUNTIF(Vertices[Eigenvector Centrality],"&gt;="&amp;N41)</f>
        <v>0</v>
      </c>
      <c r="P40" s="39">
        <f>P28+($P$57-$P$2)/BinDivisor</f>
        <v>1.4120953454545453</v>
      </c>
      <c r="Q40" s="40">
        <f>COUNTIF(Vertices[PageRank],"&gt;= "&amp;P40)-COUNTIF(Vertices[PageRank],"&gt;="&amp;P41)</f>
        <v>0</v>
      </c>
      <c r="R40" s="39">
        <f>R28+($R$57-$R$2)/BinDivisor</f>
        <v>0.47272727272727283</v>
      </c>
      <c r="S40" s="45">
        <f>COUNTIF(Vertices[Clustering Coefficient],"&gt;= "&amp;R40)-COUNTIF(Vertices[Clustering Coefficient],"&gt;="&amp;R41)</f>
        <v>0</v>
      </c>
      <c r="T40" s="39" t="e">
        <f ca="1">T28+($T$57-$T$2)/BinDivisor</f>
        <v>#REF!</v>
      </c>
      <c r="U40" s="40" t="e">
        <f ca="1" t="shared" si="0"/>
        <v>#REF!</v>
      </c>
    </row>
    <row r="41" spans="1:21" ht="15">
      <c r="A41" t="s">
        <v>163</v>
      </c>
      <c r="B41" t="s">
        <v>17</v>
      </c>
      <c r="D41" s="34">
        <f aca="true" t="shared" si="10" ref="D41:D56">D40+($D$57-$D$2)/BinDivisor</f>
        <v>0</v>
      </c>
      <c r="E41" s="3">
        <f>COUNTIF(Vertices[Degree],"&gt;= "&amp;D41)-COUNTIF(Vertices[Degree],"&gt;="&amp;D42)</f>
        <v>0</v>
      </c>
      <c r="F41" s="41">
        <f aca="true" t="shared" si="11" ref="F41:F56">F40+($F$57-$F$2)/BinDivisor</f>
        <v>3.927272727272728</v>
      </c>
      <c r="G41" s="42">
        <f>COUNTIF(Vertices[In-Degree],"&gt;= "&amp;F41)-COUNTIF(Vertices[In-Degree],"&gt;="&amp;F42)</f>
        <v>1</v>
      </c>
      <c r="H41" s="41">
        <f aca="true" t="shared" si="12" ref="H41:H56">H40+($H$57-$H$2)/BinDivisor</f>
        <v>1.4727272727272722</v>
      </c>
      <c r="I41" s="42">
        <f>COUNTIF(Vertices[Out-Degree],"&gt;= "&amp;H41)-COUNTIF(Vertices[Out-Degree],"&gt;="&amp;H42)</f>
        <v>0</v>
      </c>
      <c r="J41" s="41">
        <f aca="true" t="shared" si="13" ref="J41:J56">J40+($J$57-$J$2)/BinDivisor</f>
        <v>10.309090909090916</v>
      </c>
      <c r="K41" s="42">
        <f>COUNTIF(Vertices[Betweenness Centrality],"&gt;= "&amp;J41)-COUNTIF(Vertices[Betweenness Centrality],"&gt;="&amp;J42)</f>
        <v>0</v>
      </c>
      <c r="L41" s="41">
        <f aca="true" t="shared" si="14" ref="L41:L56">L40+($L$57-$L$2)/BinDivisor</f>
        <v>0.2454545454545455</v>
      </c>
      <c r="M41" s="42">
        <f>COUNTIF(Vertices[Closeness Centrality],"&gt;= "&amp;L41)-COUNTIF(Vertices[Closeness Centrality],"&gt;="&amp;L42)</f>
        <v>3</v>
      </c>
      <c r="N41" s="41">
        <f aca="true" t="shared" si="15" ref="N41:N56">N40+($N$57-$N$2)/BinDivisor</f>
        <v>0.09306458181818185</v>
      </c>
      <c r="O41" s="42">
        <f>COUNTIF(Vertices[Eigenvector Centrality],"&gt;= "&amp;N41)-COUNTIF(Vertices[Eigenvector Centrality],"&gt;="&amp;N42)</f>
        <v>0</v>
      </c>
      <c r="P41" s="41">
        <f aca="true" t="shared" si="16" ref="P41:P56">P40+($P$57-$P$2)/BinDivisor</f>
        <v>1.4420067818181816</v>
      </c>
      <c r="Q41" s="42">
        <f>COUNTIF(Vertices[PageRank],"&gt;= "&amp;P41)-COUNTIF(Vertices[PageRank],"&gt;="&amp;P42)</f>
        <v>1</v>
      </c>
      <c r="R41" s="41">
        <f aca="true" t="shared" si="17" ref="R41:R56">R40+($R$57-$R$2)/BinDivisor</f>
        <v>0.490909090909091</v>
      </c>
      <c r="S41" s="46">
        <f>COUNTIF(Vertices[Clustering Coefficient],"&gt;= "&amp;R41)-COUNTIF(Vertices[Clustering Coefficient],"&gt;="&amp;R42)</f>
        <v>16</v>
      </c>
      <c r="T41" s="41" t="e">
        <f aca="true" t="shared" si="18" ref="T41:T56">T40+($T$57-$T$2)/BinDivisor</f>
        <v>#REF!</v>
      </c>
      <c r="U41" s="42" t="e">
        <f ca="1" t="shared" si="0"/>
        <v>#REF!</v>
      </c>
    </row>
    <row r="42" spans="1:21" ht="15">
      <c r="A42" s="35"/>
      <c r="B42" s="35"/>
      <c r="D42" s="34">
        <f t="shared" si="10"/>
        <v>0</v>
      </c>
      <c r="E42" s="3">
        <f>COUNTIF(Vertices[Degree],"&gt;= "&amp;D42)-COUNTIF(Vertices[Degree],"&gt;="&amp;D43)</f>
        <v>0</v>
      </c>
      <c r="F42" s="39">
        <f t="shared" si="11"/>
        <v>4.072727272727273</v>
      </c>
      <c r="G42" s="40">
        <f>COUNTIF(Vertices[In-Degree],"&gt;= "&amp;F42)-COUNTIF(Vertices[In-Degree],"&gt;="&amp;F43)</f>
        <v>0</v>
      </c>
      <c r="H42" s="39">
        <f t="shared" si="12"/>
        <v>1.5272727272727267</v>
      </c>
      <c r="I42" s="40">
        <f>COUNTIF(Vertices[Out-Degree],"&gt;= "&amp;H42)-COUNTIF(Vertices[Out-Degree],"&gt;="&amp;H43)</f>
        <v>0</v>
      </c>
      <c r="J42" s="39">
        <f t="shared" si="13"/>
        <v>10.690909090909098</v>
      </c>
      <c r="K42" s="40">
        <f>COUNTIF(Vertices[Betweenness Centrality],"&gt;= "&amp;J42)-COUNTIF(Vertices[Betweenness Centrality],"&gt;="&amp;J43)</f>
        <v>0</v>
      </c>
      <c r="L42" s="39">
        <f t="shared" si="14"/>
        <v>0.2545454545454546</v>
      </c>
      <c r="M42" s="40">
        <f>COUNTIF(Vertices[Closeness Centrality],"&gt;= "&amp;L42)-COUNTIF(Vertices[Closeness Centrality],"&gt;="&amp;L43)</f>
        <v>0</v>
      </c>
      <c r="N42" s="39">
        <f t="shared" si="15"/>
        <v>0.09651141818181821</v>
      </c>
      <c r="O42" s="40">
        <f>COUNTIF(Vertices[Eigenvector Centrality],"&gt;= "&amp;N42)-COUNTIF(Vertices[Eigenvector Centrality],"&gt;="&amp;N43)</f>
        <v>0</v>
      </c>
      <c r="P42" s="39">
        <f t="shared" si="16"/>
        <v>1.471918218181818</v>
      </c>
      <c r="Q42" s="40">
        <f>COUNTIF(Vertices[PageRank],"&gt;= "&amp;P42)-COUNTIF(Vertices[PageRank],"&gt;="&amp;P43)</f>
        <v>0</v>
      </c>
      <c r="R42" s="39">
        <f t="shared" si="17"/>
        <v>0.5090909090909091</v>
      </c>
      <c r="S42" s="45">
        <f>COUNTIF(Vertices[Clustering Coefficient],"&gt;= "&amp;R42)-COUNTIF(Vertices[Clustering Coefficient],"&gt;="&amp;R43)</f>
        <v>0</v>
      </c>
      <c r="T42" s="39" t="e">
        <f ca="1" t="shared" si="18"/>
        <v>#REF!</v>
      </c>
      <c r="U42" s="40" t="e">
        <f ca="1" t="shared" si="0"/>
        <v>#REF!</v>
      </c>
    </row>
    <row r="43" spans="1:21" ht="15">
      <c r="A43" s="35"/>
      <c r="B43" s="35"/>
      <c r="D43" s="34">
        <f t="shared" si="10"/>
        <v>0</v>
      </c>
      <c r="E43" s="3">
        <f>COUNTIF(Vertices[Degree],"&gt;= "&amp;D43)-COUNTIF(Vertices[Degree],"&gt;="&amp;D44)</f>
        <v>0</v>
      </c>
      <c r="F43" s="41">
        <f t="shared" si="11"/>
        <v>4.218181818181819</v>
      </c>
      <c r="G43" s="42">
        <f>COUNTIF(Vertices[In-Degree],"&gt;= "&amp;F43)-COUNTIF(Vertices[In-Degree],"&gt;="&amp;F44)</f>
        <v>0</v>
      </c>
      <c r="H43" s="41">
        <f t="shared" si="12"/>
        <v>1.5818181818181811</v>
      </c>
      <c r="I43" s="42">
        <f>COUNTIF(Vertices[Out-Degree],"&gt;= "&amp;H43)-COUNTIF(Vertices[Out-Degree],"&gt;="&amp;H44)</f>
        <v>0</v>
      </c>
      <c r="J43" s="41">
        <f t="shared" si="13"/>
        <v>11.072727272727281</v>
      </c>
      <c r="K43" s="42">
        <f>COUNTIF(Vertices[Betweenness Centrality],"&gt;= "&amp;J43)-COUNTIF(Vertices[Betweenness Centrality],"&gt;="&amp;J44)</f>
        <v>0</v>
      </c>
      <c r="L43" s="41">
        <f t="shared" si="14"/>
        <v>0.26363636363636367</v>
      </c>
      <c r="M43" s="42">
        <f>COUNTIF(Vertices[Closeness Centrality],"&gt;= "&amp;L43)-COUNTIF(Vertices[Closeness Centrality],"&gt;="&amp;L44)</f>
        <v>0</v>
      </c>
      <c r="N43" s="41">
        <f t="shared" si="15"/>
        <v>0.09995825454545458</v>
      </c>
      <c r="O43" s="42">
        <f>COUNTIF(Vertices[Eigenvector Centrality],"&gt;= "&amp;N43)-COUNTIF(Vertices[Eigenvector Centrality],"&gt;="&amp;N44)</f>
        <v>0</v>
      </c>
      <c r="P43" s="41">
        <f t="shared" si="16"/>
        <v>1.5018296545454544</v>
      </c>
      <c r="Q43" s="42">
        <f>COUNTIF(Vertices[PageRank],"&gt;= "&amp;P43)-COUNTIF(Vertices[PageRank],"&gt;="&amp;P44)</f>
        <v>0</v>
      </c>
      <c r="R43" s="41">
        <f t="shared" si="17"/>
        <v>0.5272727272727273</v>
      </c>
      <c r="S43" s="46">
        <f>COUNTIF(Vertices[Clustering Coefficient],"&gt;= "&amp;R43)-COUNTIF(Vertices[Clustering Coefficient],"&gt;="&amp;R44)</f>
        <v>0</v>
      </c>
      <c r="T43" s="41" t="e">
        <f ca="1" t="shared" si="18"/>
        <v>#REF!</v>
      </c>
      <c r="U43" s="42" t="e">
        <f ca="1" t="shared" si="0"/>
        <v>#REF!</v>
      </c>
    </row>
    <row r="44" spans="1:21" ht="15">
      <c r="A44" s="35"/>
      <c r="B44" s="35"/>
      <c r="D44" s="34">
        <f t="shared" si="10"/>
        <v>0</v>
      </c>
      <c r="E44" s="3">
        <f>COUNTIF(Vertices[Degree],"&gt;= "&amp;D44)-COUNTIF(Vertices[Degree],"&gt;="&amp;D45)</f>
        <v>0</v>
      </c>
      <c r="F44" s="39">
        <f t="shared" si="11"/>
        <v>4.363636363636364</v>
      </c>
      <c r="G44" s="40">
        <f>COUNTIF(Vertices[In-Degree],"&gt;= "&amp;F44)-COUNTIF(Vertices[In-Degree],"&gt;="&amp;F45)</f>
        <v>0</v>
      </c>
      <c r="H44" s="39">
        <f t="shared" si="12"/>
        <v>1.6363636363636356</v>
      </c>
      <c r="I44" s="40">
        <f>COUNTIF(Vertices[Out-Degree],"&gt;= "&amp;H44)-COUNTIF(Vertices[Out-Degree],"&gt;="&amp;H45)</f>
        <v>0</v>
      </c>
      <c r="J44" s="39">
        <f t="shared" si="13"/>
        <v>11.454545454545464</v>
      </c>
      <c r="K44" s="40">
        <f>COUNTIF(Vertices[Betweenness Centrality],"&gt;= "&amp;J44)-COUNTIF(Vertices[Betweenness Centrality],"&gt;="&amp;J45)</f>
        <v>0</v>
      </c>
      <c r="L44" s="39">
        <f t="shared" si="14"/>
        <v>0.27272727272727276</v>
      </c>
      <c r="M44" s="40">
        <f>COUNTIF(Vertices[Closeness Centrality],"&gt;= "&amp;L44)-COUNTIF(Vertices[Closeness Centrality],"&gt;="&amp;L45)</f>
        <v>0</v>
      </c>
      <c r="N44" s="39">
        <f t="shared" si="15"/>
        <v>0.10340509090909095</v>
      </c>
      <c r="O44" s="40">
        <f>COUNTIF(Vertices[Eigenvector Centrality],"&gt;= "&amp;N44)-COUNTIF(Vertices[Eigenvector Centrality],"&gt;="&amp;N45)</f>
        <v>0</v>
      </c>
      <c r="P44" s="39">
        <f t="shared" si="16"/>
        <v>1.5317410909090907</v>
      </c>
      <c r="Q44" s="40">
        <f>COUNTIF(Vertices[PageRank],"&gt;= "&amp;P44)-COUNTIF(Vertices[PageRank],"&gt;="&amp;P45)</f>
        <v>0</v>
      </c>
      <c r="R44" s="39">
        <f t="shared" si="17"/>
        <v>0.5454545454545455</v>
      </c>
      <c r="S44" s="45">
        <f>COUNTIF(Vertices[Clustering Coefficient],"&gt;= "&amp;R44)-COUNTIF(Vertices[Clustering Coefficient],"&gt;="&amp;R45)</f>
        <v>0</v>
      </c>
      <c r="T44" s="39" t="e">
        <f ca="1" t="shared" si="18"/>
        <v>#REF!</v>
      </c>
      <c r="U44" s="40" t="e">
        <f ca="1" t="shared" si="0"/>
        <v>#REF!</v>
      </c>
    </row>
    <row r="45" spans="4:21" ht="15">
      <c r="D45" s="34">
        <f t="shared" si="10"/>
        <v>0</v>
      </c>
      <c r="E45" s="3">
        <f>COUNTIF(Vertices[Degree],"&gt;= "&amp;D45)-COUNTIF(Vertices[Degree],"&gt;="&amp;D46)</f>
        <v>0</v>
      </c>
      <c r="F45" s="41">
        <f t="shared" si="11"/>
        <v>4.50909090909091</v>
      </c>
      <c r="G45" s="42">
        <f>COUNTIF(Vertices[In-Degree],"&gt;= "&amp;F45)-COUNTIF(Vertices[In-Degree],"&gt;="&amp;F46)</f>
        <v>0</v>
      </c>
      <c r="H45" s="41">
        <f t="shared" si="12"/>
        <v>1.69090909090909</v>
      </c>
      <c r="I45" s="42">
        <f>COUNTIF(Vertices[Out-Degree],"&gt;= "&amp;H45)-COUNTIF(Vertices[Out-Degree],"&gt;="&amp;H46)</f>
        <v>0</v>
      </c>
      <c r="J45" s="41">
        <f t="shared" si="13"/>
        <v>11.836363636363647</v>
      </c>
      <c r="K45" s="42">
        <f>COUNTIF(Vertices[Betweenness Centrality],"&gt;= "&amp;J45)-COUNTIF(Vertices[Betweenness Centrality],"&gt;="&amp;J46)</f>
        <v>0</v>
      </c>
      <c r="L45" s="41">
        <f t="shared" si="14"/>
        <v>0.28181818181818186</v>
      </c>
      <c r="M45" s="42">
        <f>COUNTIF(Vertices[Closeness Centrality],"&gt;= "&amp;L45)-COUNTIF(Vertices[Closeness Centrality],"&gt;="&amp;L46)</f>
        <v>0</v>
      </c>
      <c r="N45" s="41">
        <f t="shared" si="15"/>
        <v>0.10685192727272731</v>
      </c>
      <c r="O45" s="42">
        <f>COUNTIF(Vertices[Eigenvector Centrality],"&gt;= "&amp;N45)-COUNTIF(Vertices[Eigenvector Centrality],"&gt;="&amp;N46)</f>
        <v>0</v>
      </c>
      <c r="P45" s="41">
        <f t="shared" si="16"/>
        <v>1.561652527272727</v>
      </c>
      <c r="Q45" s="42">
        <f>COUNTIF(Vertices[PageRank],"&gt;= "&amp;P45)-COUNTIF(Vertices[PageRank],"&gt;="&amp;P46)</f>
        <v>0</v>
      </c>
      <c r="R45" s="41">
        <f t="shared" si="17"/>
        <v>0.5636363636363637</v>
      </c>
      <c r="S45" s="46">
        <f>COUNTIF(Vertices[Clustering Coefficient],"&gt;= "&amp;R45)-COUNTIF(Vertices[Clustering Coefficient],"&gt;="&amp;R46)</f>
        <v>0</v>
      </c>
      <c r="T45" s="41" t="e">
        <f ca="1" t="shared" si="18"/>
        <v>#REF!</v>
      </c>
      <c r="U45" s="42" t="e">
        <f ca="1" t="shared" si="0"/>
        <v>#REF!</v>
      </c>
    </row>
    <row r="46" spans="4:21" ht="15">
      <c r="D46" s="34">
        <f t="shared" si="10"/>
        <v>0</v>
      </c>
      <c r="E46" s="3">
        <f>COUNTIF(Vertices[Degree],"&gt;= "&amp;D46)-COUNTIF(Vertices[Degree],"&gt;="&amp;D47)</f>
        <v>0</v>
      </c>
      <c r="F46" s="39">
        <f t="shared" si="11"/>
        <v>4.654545454545455</v>
      </c>
      <c r="G46" s="40">
        <f>COUNTIF(Vertices[In-Degree],"&gt;= "&amp;F46)-COUNTIF(Vertices[In-Degree],"&gt;="&amp;F47)</f>
        <v>0</v>
      </c>
      <c r="H46" s="39">
        <f t="shared" si="12"/>
        <v>1.7454545454545445</v>
      </c>
      <c r="I46" s="40">
        <f>COUNTIF(Vertices[Out-Degree],"&gt;= "&amp;H46)-COUNTIF(Vertices[Out-Degree],"&gt;="&amp;H47)</f>
        <v>0</v>
      </c>
      <c r="J46" s="39">
        <f t="shared" si="13"/>
        <v>12.21818181818183</v>
      </c>
      <c r="K46" s="40">
        <f>COUNTIF(Vertices[Betweenness Centrality],"&gt;= "&amp;J46)-COUNTIF(Vertices[Betweenness Centrality],"&gt;="&amp;J47)</f>
        <v>0</v>
      </c>
      <c r="L46" s="39">
        <f t="shared" si="14"/>
        <v>0.29090909090909095</v>
      </c>
      <c r="M46" s="40">
        <f>COUNTIF(Vertices[Closeness Centrality],"&gt;= "&amp;L46)-COUNTIF(Vertices[Closeness Centrality],"&gt;="&amp;L47)</f>
        <v>0</v>
      </c>
      <c r="N46" s="39">
        <f t="shared" si="15"/>
        <v>0.11029876363636368</v>
      </c>
      <c r="O46" s="40">
        <f>COUNTIF(Vertices[Eigenvector Centrality],"&gt;= "&amp;N46)-COUNTIF(Vertices[Eigenvector Centrality],"&gt;="&amp;N47)</f>
        <v>0</v>
      </c>
      <c r="P46" s="39">
        <f t="shared" si="16"/>
        <v>1.5915639636363634</v>
      </c>
      <c r="Q46" s="40">
        <f>COUNTIF(Vertices[PageRank],"&gt;= "&amp;P46)-COUNTIF(Vertices[PageRank],"&gt;="&amp;P47)</f>
        <v>1</v>
      </c>
      <c r="R46" s="39">
        <f t="shared" si="17"/>
        <v>0.5818181818181819</v>
      </c>
      <c r="S46" s="45">
        <f>COUNTIF(Vertices[Clustering Coefficient],"&gt;= "&amp;R46)-COUNTIF(Vertices[Clustering Coefficient],"&gt;="&amp;R47)</f>
        <v>0</v>
      </c>
      <c r="T46" s="39" t="e">
        <f ca="1" t="shared" si="18"/>
        <v>#REF!</v>
      </c>
      <c r="U46" s="40" t="e">
        <f ca="1" t="shared" si="0"/>
        <v>#REF!</v>
      </c>
    </row>
    <row r="47" spans="4:21" ht="15">
      <c r="D47" s="34">
        <f t="shared" si="10"/>
        <v>0</v>
      </c>
      <c r="E47" s="3">
        <f>COUNTIF(Vertices[Degree],"&gt;= "&amp;D47)-COUNTIF(Vertices[Degree],"&gt;="&amp;D48)</f>
        <v>0</v>
      </c>
      <c r="F47" s="41">
        <f t="shared" si="11"/>
        <v>4.800000000000001</v>
      </c>
      <c r="G47" s="42">
        <f>COUNTIF(Vertices[In-Degree],"&gt;= "&amp;F47)-COUNTIF(Vertices[In-Degree],"&gt;="&amp;F48)</f>
        <v>0</v>
      </c>
      <c r="H47" s="41">
        <f t="shared" si="12"/>
        <v>1.799999999999999</v>
      </c>
      <c r="I47" s="42">
        <f>COUNTIF(Vertices[Out-Degree],"&gt;= "&amp;H47)-COUNTIF(Vertices[Out-Degree],"&gt;="&amp;H48)</f>
        <v>0</v>
      </c>
      <c r="J47" s="41">
        <f t="shared" si="13"/>
        <v>12.600000000000012</v>
      </c>
      <c r="K47" s="42">
        <f>COUNTIF(Vertices[Betweenness Centrality],"&gt;= "&amp;J47)-COUNTIF(Vertices[Betweenness Centrality],"&gt;="&amp;J48)</f>
        <v>0</v>
      </c>
      <c r="L47" s="41">
        <f t="shared" si="14"/>
        <v>0.30000000000000004</v>
      </c>
      <c r="M47" s="42">
        <f>COUNTIF(Vertices[Closeness Centrality],"&gt;= "&amp;L47)-COUNTIF(Vertices[Closeness Centrality],"&gt;="&amp;L48)</f>
        <v>0</v>
      </c>
      <c r="N47" s="41">
        <f t="shared" si="15"/>
        <v>0.11374560000000004</v>
      </c>
      <c r="O47" s="42">
        <f>COUNTIF(Vertices[Eigenvector Centrality],"&gt;= "&amp;N47)-COUNTIF(Vertices[Eigenvector Centrality],"&gt;="&amp;N48)</f>
        <v>0</v>
      </c>
      <c r="P47" s="41">
        <f t="shared" si="16"/>
        <v>1.6214753999999998</v>
      </c>
      <c r="Q47" s="42">
        <f>COUNTIF(Vertices[PageRank],"&gt;= "&amp;P47)-COUNTIF(Vertices[PageRank],"&gt;="&amp;P48)</f>
        <v>0</v>
      </c>
      <c r="R47" s="41">
        <f t="shared" si="17"/>
        <v>0.6000000000000001</v>
      </c>
      <c r="S47" s="46">
        <f>COUNTIF(Vertices[Clustering Coefficient],"&gt;= "&amp;R47)-COUNTIF(Vertices[Clustering Coefficient],"&gt;="&amp;R48)</f>
        <v>0</v>
      </c>
      <c r="T47" s="41" t="e">
        <f ca="1" t="shared" si="18"/>
        <v>#REF!</v>
      </c>
      <c r="U47" s="42" t="e">
        <f ca="1" t="shared" si="0"/>
        <v>#REF!</v>
      </c>
    </row>
    <row r="48" spans="4:21" ht="15">
      <c r="D48" s="34">
        <f t="shared" si="10"/>
        <v>0</v>
      </c>
      <c r="E48" s="3">
        <f>COUNTIF(Vertices[Degree],"&gt;= "&amp;D48)-COUNTIF(Vertices[Degree],"&gt;="&amp;D49)</f>
        <v>0</v>
      </c>
      <c r="F48" s="39">
        <f t="shared" si="11"/>
        <v>4.945454545454546</v>
      </c>
      <c r="G48" s="40">
        <f>COUNTIF(Vertices[In-Degree],"&gt;= "&amp;F48)-COUNTIF(Vertices[In-Degree],"&gt;="&amp;F49)</f>
        <v>0</v>
      </c>
      <c r="H48" s="39">
        <f t="shared" si="12"/>
        <v>1.8545454545454534</v>
      </c>
      <c r="I48" s="40">
        <f>COUNTIF(Vertices[Out-Degree],"&gt;= "&amp;H48)-COUNTIF(Vertices[Out-Degree],"&gt;="&amp;H49)</f>
        <v>0</v>
      </c>
      <c r="J48" s="39">
        <f t="shared" si="13"/>
        <v>12.981818181818195</v>
      </c>
      <c r="K48" s="40">
        <f>COUNTIF(Vertices[Betweenness Centrality],"&gt;= "&amp;J48)-COUNTIF(Vertices[Betweenness Centrality],"&gt;="&amp;J49)</f>
        <v>0</v>
      </c>
      <c r="L48" s="39">
        <f t="shared" si="14"/>
        <v>0.30909090909090914</v>
      </c>
      <c r="M48" s="40">
        <f>COUNTIF(Vertices[Closeness Centrality],"&gt;= "&amp;L48)-COUNTIF(Vertices[Closeness Centrality],"&gt;="&amp;L49)</f>
        <v>0</v>
      </c>
      <c r="N48" s="39">
        <f t="shared" si="15"/>
        <v>0.11719243636363641</v>
      </c>
      <c r="O48" s="40">
        <f>COUNTIF(Vertices[Eigenvector Centrality],"&gt;= "&amp;N48)-COUNTIF(Vertices[Eigenvector Centrality],"&gt;="&amp;N49)</f>
        <v>0</v>
      </c>
      <c r="P48" s="39">
        <f t="shared" si="16"/>
        <v>1.6513868363636361</v>
      </c>
      <c r="Q48" s="40">
        <f>COUNTIF(Vertices[PageRank],"&gt;= "&amp;P48)-COUNTIF(Vertices[PageRank],"&gt;="&amp;P49)</f>
        <v>0</v>
      </c>
      <c r="R48" s="39">
        <f t="shared" si="17"/>
        <v>0.6181818181818183</v>
      </c>
      <c r="S48" s="45">
        <f>COUNTIF(Vertices[Clustering Coefficient],"&gt;= "&amp;R48)-COUNTIF(Vertices[Clustering Coefficient],"&gt;="&amp;R49)</f>
        <v>0</v>
      </c>
      <c r="T48" s="39" t="e">
        <f ca="1" t="shared" si="18"/>
        <v>#REF!</v>
      </c>
      <c r="U48" s="40" t="e">
        <f ca="1" t="shared" si="0"/>
        <v>#REF!</v>
      </c>
    </row>
    <row r="49" spans="4:21" ht="15">
      <c r="D49" s="34">
        <f t="shared" si="10"/>
        <v>0</v>
      </c>
      <c r="E49" s="3">
        <f>COUNTIF(Vertices[Degree],"&gt;= "&amp;D49)-COUNTIF(Vertices[Degree],"&gt;="&amp;D50)</f>
        <v>0</v>
      </c>
      <c r="F49" s="41">
        <f t="shared" si="11"/>
        <v>5.090909090909092</v>
      </c>
      <c r="G49" s="42">
        <f>COUNTIF(Vertices[In-Degree],"&gt;= "&amp;F49)-COUNTIF(Vertices[In-Degree],"&gt;="&amp;F50)</f>
        <v>0</v>
      </c>
      <c r="H49" s="41">
        <f t="shared" si="12"/>
        <v>1.9090909090909078</v>
      </c>
      <c r="I49" s="42">
        <f>COUNTIF(Vertices[Out-Degree],"&gt;= "&amp;H49)-COUNTIF(Vertices[Out-Degree],"&gt;="&amp;H50)</f>
        <v>0</v>
      </c>
      <c r="J49" s="41">
        <f t="shared" si="13"/>
        <v>13.363636363636378</v>
      </c>
      <c r="K49" s="42">
        <f>COUNTIF(Vertices[Betweenness Centrality],"&gt;= "&amp;J49)-COUNTIF(Vertices[Betweenness Centrality],"&gt;="&amp;J50)</f>
        <v>0</v>
      </c>
      <c r="L49" s="41">
        <f t="shared" si="14"/>
        <v>0.31818181818181823</v>
      </c>
      <c r="M49" s="42">
        <f>COUNTIF(Vertices[Closeness Centrality],"&gt;= "&amp;L49)-COUNTIF(Vertices[Closeness Centrality],"&gt;="&amp;L50)</f>
        <v>0</v>
      </c>
      <c r="N49" s="41">
        <f t="shared" si="15"/>
        <v>0.12063927272727278</v>
      </c>
      <c r="O49" s="42">
        <f>COUNTIF(Vertices[Eigenvector Centrality],"&gt;= "&amp;N49)-COUNTIF(Vertices[Eigenvector Centrality],"&gt;="&amp;N50)</f>
        <v>0</v>
      </c>
      <c r="P49" s="41">
        <f t="shared" si="16"/>
        <v>1.6812982727272725</v>
      </c>
      <c r="Q49" s="42">
        <f>COUNTIF(Vertices[PageRank],"&gt;= "&amp;P49)-COUNTIF(Vertices[PageRank],"&gt;="&amp;P50)</f>
        <v>0</v>
      </c>
      <c r="R49" s="41">
        <f t="shared" si="17"/>
        <v>0.6363636363636365</v>
      </c>
      <c r="S49" s="46">
        <f>COUNTIF(Vertices[Clustering Coefficient],"&gt;= "&amp;R49)-COUNTIF(Vertices[Clustering Coefficient],"&gt;="&amp;R50)</f>
        <v>0</v>
      </c>
      <c r="T49" s="41" t="e">
        <f ca="1" t="shared" si="18"/>
        <v>#REF!</v>
      </c>
      <c r="U49" s="42" t="e">
        <f ca="1" t="shared" si="0"/>
        <v>#REF!</v>
      </c>
    </row>
    <row r="50" spans="4:21" ht="15">
      <c r="D50" s="34">
        <f t="shared" si="10"/>
        <v>0</v>
      </c>
      <c r="E50" s="3">
        <f>COUNTIF(Vertices[Degree],"&gt;= "&amp;D50)-COUNTIF(Vertices[Degree],"&gt;="&amp;D51)</f>
        <v>0</v>
      </c>
      <c r="F50" s="39">
        <f t="shared" si="11"/>
        <v>5.236363636363637</v>
      </c>
      <c r="G50" s="40">
        <f>COUNTIF(Vertices[In-Degree],"&gt;= "&amp;F50)-COUNTIF(Vertices[In-Degree],"&gt;="&amp;F51)</f>
        <v>0</v>
      </c>
      <c r="H50" s="39">
        <f t="shared" si="12"/>
        <v>1.9636363636363623</v>
      </c>
      <c r="I50" s="40">
        <f>COUNTIF(Vertices[Out-Degree],"&gt;= "&amp;H50)-COUNTIF(Vertices[Out-Degree],"&gt;="&amp;H51)</f>
        <v>15</v>
      </c>
      <c r="J50" s="39">
        <f t="shared" si="13"/>
        <v>13.74545454545456</v>
      </c>
      <c r="K50" s="40">
        <f>COUNTIF(Vertices[Betweenness Centrality],"&gt;= "&amp;J50)-COUNTIF(Vertices[Betweenness Centrality],"&gt;="&amp;J51)</f>
        <v>0</v>
      </c>
      <c r="L50" s="39">
        <f t="shared" si="14"/>
        <v>0.3272727272727273</v>
      </c>
      <c r="M50" s="40">
        <f>COUNTIF(Vertices[Closeness Centrality],"&gt;= "&amp;L50)-COUNTIF(Vertices[Closeness Centrality],"&gt;="&amp;L51)</f>
        <v>2</v>
      </c>
      <c r="N50" s="39">
        <f t="shared" si="15"/>
        <v>0.12408610909090914</v>
      </c>
      <c r="O50" s="40">
        <f>COUNTIF(Vertices[Eigenvector Centrality],"&gt;= "&amp;N50)-COUNTIF(Vertices[Eigenvector Centrality],"&gt;="&amp;N51)</f>
        <v>0</v>
      </c>
      <c r="P50" s="39">
        <f t="shared" si="16"/>
        <v>1.7112097090909089</v>
      </c>
      <c r="Q50" s="40">
        <f>COUNTIF(Vertices[PageRank],"&gt;= "&amp;P50)-COUNTIF(Vertices[PageRank],"&gt;="&amp;P51)</f>
        <v>0</v>
      </c>
      <c r="R50" s="39">
        <f t="shared" si="17"/>
        <v>0.6545454545454547</v>
      </c>
      <c r="S50" s="45">
        <f>COUNTIF(Vertices[Clustering Coefficient],"&gt;= "&amp;R50)-COUNTIF(Vertices[Clustering Coefficient],"&gt;="&amp;R51)</f>
        <v>0</v>
      </c>
      <c r="T50" s="39" t="e">
        <f ca="1" t="shared" si="18"/>
        <v>#REF!</v>
      </c>
      <c r="U50" s="40" t="e">
        <f ca="1" t="shared" si="0"/>
        <v>#REF!</v>
      </c>
    </row>
    <row r="51" spans="4:21" ht="15">
      <c r="D51" s="34">
        <f t="shared" si="10"/>
        <v>0</v>
      </c>
      <c r="E51" s="3">
        <f>COUNTIF(Vertices[Degree],"&gt;= "&amp;D51)-COUNTIF(Vertices[Degree],"&gt;="&amp;D52)</f>
        <v>0</v>
      </c>
      <c r="F51" s="41">
        <f t="shared" si="11"/>
        <v>5.381818181818183</v>
      </c>
      <c r="G51" s="42">
        <f>COUNTIF(Vertices[In-Degree],"&gt;= "&amp;F51)-COUNTIF(Vertices[In-Degree],"&gt;="&amp;F52)</f>
        <v>0</v>
      </c>
      <c r="H51" s="41">
        <f t="shared" si="12"/>
        <v>2.0181818181818167</v>
      </c>
      <c r="I51" s="42">
        <f>COUNTIF(Vertices[Out-Degree],"&gt;= "&amp;H51)-COUNTIF(Vertices[Out-Degree],"&gt;="&amp;H52)</f>
        <v>0</v>
      </c>
      <c r="J51" s="41">
        <f t="shared" si="13"/>
        <v>14.127272727272743</v>
      </c>
      <c r="K51" s="42">
        <f>COUNTIF(Vertices[Betweenness Centrality],"&gt;= "&amp;J51)-COUNTIF(Vertices[Betweenness Centrality],"&gt;="&amp;J52)</f>
        <v>0</v>
      </c>
      <c r="L51" s="41">
        <f t="shared" si="14"/>
        <v>0.3363636363636364</v>
      </c>
      <c r="M51" s="42">
        <f>COUNTIF(Vertices[Closeness Centrality],"&gt;= "&amp;L51)-COUNTIF(Vertices[Closeness Centrality],"&gt;="&amp;L52)</f>
        <v>0</v>
      </c>
      <c r="N51" s="41">
        <f t="shared" si="15"/>
        <v>0.1275329454545455</v>
      </c>
      <c r="O51" s="42">
        <f>COUNTIF(Vertices[Eigenvector Centrality],"&gt;= "&amp;N51)-COUNTIF(Vertices[Eigenvector Centrality],"&gt;="&amp;N52)</f>
        <v>0</v>
      </c>
      <c r="P51" s="41">
        <f t="shared" si="16"/>
        <v>1.7411211454545452</v>
      </c>
      <c r="Q51" s="42">
        <f>COUNTIF(Vertices[PageRank],"&gt;= "&amp;P51)-COUNTIF(Vertices[PageRank],"&gt;="&amp;P52)</f>
        <v>0</v>
      </c>
      <c r="R51" s="41">
        <f t="shared" si="17"/>
        <v>0.6727272727272728</v>
      </c>
      <c r="S51" s="46">
        <f>COUNTIF(Vertices[Clustering Coefficient],"&gt;= "&amp;R51)-COUNTIF(Vertices[Clustering Coefficient],"&gt;="&amp;R52)</f>
        <v>0</v>
      </c>
      <c r="T51" s="41" t="e">
        <f ca="1" t="shared" si="18"/>
        <v>#REF!</v>
      </c>
      <c r="U51" s="42" t="e">
        <f ca="1" t="shared" si="0"/>
        <v>#REF!</v>
      </c>
    </row>
    <row r="52" spans="4:21" ht="15">
      <c r="D52" s="34">
        <f t="shared" si="10"/>
        <v>0</v>
      </c>
      <c r="E52" s="3">
        <f>COUNTIF(Vertices[Degree],"&gt;= "&amp;D52)-COUNTIF(Vertices[Degree],"&gt;="&amp;D53)</f>
        <v>0</v>
      </c>
      <c r="F52" s="39">
        <f t="shared" si="11"/>
        <v>5.527272727272728</v>
      </c>
      <c r="G52" s="40">
        <f>COUNTIF(Vertices[In-Degree],"&gt;= "&amp;F52)-COUNTIF(Vertices[In-Degree],"&gt;="&amp;F53)</f>
        <v>0</v>
      </c>
      <c r="H52" s="39">
        <f t="shared" si="12"/>
        <v>2.0727272727272714</v>
      </c>
      <c r="I52" s="40">
        <f>COUNTIF(Vertices[Out-Degree],"&gt;= "&amp;H52)-COUNTIF(Vertices[Out-Degree],"&gt;="&amp;H53)</f>
        <v>0</v>
      </c>
      <c r="J52" s="39">
        <f t="shared" si="13"/>
        <v>14.509090909090926</v>
      </c>
      <c r="K52" s="40">
        <f>COUNTIF(Vertices[Betweenness Centrality],"&gt;= "&amp;J52)-COUNTIF(Vertices[Betweenness Centrality],"&gt;="&amp;J53)</f>
        <v>0</v>
      </c>
      <c r="L52" s="39">
        <f t="shared" si="14"/>
        <v>0.3454545454545455</v>
      </c>
      <c r="M52" s="40">
        <f>COUNTIF(Vertices[Closeness Centrality],"&gt;= "&amp;L52)-COUNTIF(Vertices[Closeness Centrality],"&gt;="&amp;L53)</f>
        <v>0</v>
      </c>
      <c r="N52" s="39">
        <f t="shared" si="15"/>
        <v>0.13097978181818185</v>
      </c>
      <c r="O52" s="40">
        <f>COUNTIF(Vertices[Eigenvector Centrality],"&gt;= "&amp;N52)-COUNTIF(Vertices[Eigenvector Centrality],"&gt;="&amp;N53)</f>
        <v>0</v>
      </c>
      <c r="P52" s="39">
        <f t="shared" si="16"/>
        <v>1.7710325818181816</v>
      </c>
      <c r="Q52" s="40">
        <f>COUNTIF(Vertices[PageRank],"&gt;= "&amp;P52)-COUNTIF(Vertices[PageRank],"&gt;="&amp;P53)</f>
        <v>0</v>
      </c>
      <c r="R52" s="39">
        <f t="shared" si="17"/>
        <v>0.690909090909091</v>
      </c>
      <c r="S52" s="45">
        <f>COUNTIF(Vertices[Clustering Coefficient],"&gt;= "&amp;R52)-COUNTIF(Vertices[Clustering Coefficient],"&gt;="&amp;R53)</f>
        <v>0</v>
      </c>
      <c r="T52" s="39" t="e">
        <f ca="1" t="shared" si="18"/>
        <v>#REF!</v>
      </c>
      <c r="U52" s="40" t="e">
        <f ca="1" t="shared" si="0"/>
        <v>#REF!</v>
      </c>
    </row>
    <row r="53" spans="4:21" ht="15">
      <c r="D53" s="34">
        <f t="shared" si="10"/>
        <v>0</v>
      </c>
      <c r="E53" s="3">
        <f>COUNTIF(Vertices[Degree],"&gt;= "&amp;D53)-COUNTIF(Vertices[Degree],"&gt;="&amp;D54)</f>
        <v>0</v>
      </c>
      <c r="F53" s="41">
        <f t="shared" si="11"/>
        <v>5.672727272727274</v>
      </c>
      <c r="G53" s="42">
        <f>COUNTIF(Vertices[In-Degree],"&gt;= "&amp;F53)-COUNTIF(Vertices[In-Degree],"&gt;="&amp;F54)</f>
        <v>0</v>
      </c>
      <c r="H53" s="41">
        <f t="shared" si="12"/>
        <v>2.127272727272726</v>
      </c>
      <c r="I53" s="42">
        <f>COUNTIF(Vertices[Out-Degree],"&gt;= "&amp;H53)-COUNTIF(Vertices[Out-Degree],"&gt;="&amp;H54)</f>
        <v>0</v>
      </c>
      <c r="J53" s="41">
        <f t="shared" si="13"/>
        <v>14.890909090909108</v>
      </c>
      <c r="K53" s="42">
        <f>COUNTIF(Vertices[Betweenness Centrality],"&gt;= "&amp;J53)-COUNTIF(Vertices[Betweenness Centrality],"&gt;="&amp;J54)</f>
        <v>0</v>
      </c>
      <c r="L53" s="41">
        <f t="shared" si="14"/>
        <v>0.3545454545454546</v>
      </c>
      <c r="M53" s="42">
        <f>COUNTIF(Vertices[Closeness Centrality],"&gt;= "&amp;L53)-COUNTIF(Vertices[Closeness Centrality],"&gt;="&amp;L54)</f>
        <v>0</v>
      </c>
      <c r="N53" s="41">
        <f t="shared" si="15"/>
        <v>0.1344266181818182</v>
      </c>
      <c r="O53" s="42">
        <f>COUNTIF(Vertices[Eigenvector Centrality],"&gt;= "&amp;N53)-COUNTIF(Vertices[Eigenvector Centrality],"&gt;="&amp;N54)</f>
        <v>0</v>
      </c>
      <c r="P53" s="41">
        <f t="shared" si="16"/>
        <v>1.800944018181818</v>
      </c>
      <c r="Q53" s="42">
        <f>COUNTIF(Vertices[PageRank],"&gt;= "&amp;P53)-COUNTIF(Vertices[PageRank],"&gt;="&amp;P54)</f>
        <v>0</v>
      </c>
      <c r="R53" s="41">
        <f t="shared" si="17"/>
        <v>0.7090909090909092</v>
      </c>
      <c r="S53" s="46">
        <f>COUNTIF(Vertices[Clustering Coefficient],"&gt;= "&amp;R53)-COUNTIF(Vertices[Clustering Coefficient],"&gt;="&amp;R54)</f>
        <v>0</v>
      </c>
      <c r="T53" s="41" t="e">
        <f ca="1" t="shared" si="18"/>
        <v>#REF!</v>
      </c>
      <c r="U53" s="42" t="e">
        <f ca="1" t="shared" si="0"/>
        <v>#REF!</v>
      </c>
    </row>
    <row r="54" spans="4:21" ht="15">
      <c r="D54" s="34">
        <f t="shared" si="10"/>
        <v>0</v>
      </c>
      <c r="E54" s="3">
        <f>COUNTIF(Vertices[Degree],"&gt;= "&amp;D54)-COUNTIF(Vertices[Degree],"&gt;="&amp;D55)</f>
        <v>0</v>
      </c>
      <c r="F54" s="39">
        <f t="shared" si="11"/>
        <v>5.818181818181819</v>
      </c>
      <c r="G54" s="40">
        <f>COUNTIF(Vertices[In-Degree],"&gt;= "&amp;F54)-COUNTIF(Vertices[In-Degree],"&gt;="&amp;F55)</f>
        <v>0</v>
      </c>
      <c r="H54" s="39">
        <f t="shared" si="12"/>
        <v>2.1818181818181808</v>
      </c>
      <c r="I54" s="40">
        <f>COUNTIF(Vertices[Out-Degree],"&gt;= "&amp;H54)-COUNTIF(Vertices[Out-Degree],"&gt;="&amp;H55)</f>
        <v>0</v>
      </c>
      <c r="J54" s="39">
        <f t="shared" si="13"/>
        <v>15.272727272727291</v>
      </c>
      <c r="K54" s="40">
        <f>COUNTIF(Vertices[Betweenness Centrality],"&gt;= "&amp;J54)-COUNTIF(Vertices[Betweenness Centrality],"&gt;="&amp;J55)</f>
        <v>0</v>
      </c>
      <c r="L54" s="39">
        <f t="shared" si="14"/>
        <v>0.3636363636363637</v>
      </c>
      <c r="M54" s="40">
        <f>COUNTIF(Vertices[Closeness Centrality],"&gt;= "&amp;L54)-COUNTIF(Vertices[Closeness Centrality],"&gt;="&amp;L55)</f>
        <v>0</v>
      </c>
      <c r="N54" s="39">
        <f t="shared" si="15"/>
        <v>0.13787345454545455</v>
      </c>
      <c r="O54" s="40">
        <f>COUNTIF(Vertices[Eigenvector Centrality],"&gt;= "&amp;N54)-COUNTIF(Vertices[Eigenvector Centrality],"&gt;="&amp;N55)</f>
        <v>0</v>
      </c>
      <c r="P54" s="39">
        <f t="shared" si="16"/>
        <v>1.8308554545454543</v>
      </c>
      <c r="Q54" s="40">
        <f>COUNTIF(Vertices[PageRank],"&gt;= "&amp;P54)-COUNTIF(Vertices[PageRank],"&gt;="&amp;P55)</f>
        <v>0</v>
      </c>
      <c r="R54" s="39">
        <f t="shared" si="17"/>
        <v>0.7272727272727274</v>
      </c>
      <c r="S54" s="45">
        <f>COUNTIF(Vertices[Clustering Coefficient],"&gt;= "&amp;R54)-COUNTIF(Vertices[Clustering Coefficient],"&gt;="&amp;R55)</f>
        <v>0</v>
      </c>
      <c r="T54" s="39" t="e">
        <f ca="1" t="shared" si="18"/>
        <v>#REF!</v>
      </c>
      <c r="U54" s="40" t="e">
        <f ca="1" t="shared" si="0"/>
        <v>#REF!</v>
      </c>
    </row>
    <row r="55" spans="1:21" ht="15">
      <c r="A55" s="35" t="s">
        <v>81</v>
      </c>
      <c r="B55" s="48" t="str">
        <f>IF(COUNT(Vertices[Degree])&gt;0,D2,NoMetricMessage)</f>
        <v>Not Available</v>
      </c>
      <c r="D55" s="34">
        <f t="shared" si="10"/>
        <v>0</v>
      </c>
      <c r="E55" s="3">
        <f>COUNTIF(Vertices[Degree],"&gt;= "&amp;D55)-COUNTIF(Vertices[Degree],"&gt;="&amp;D56)</f>
        <v>0</v>
      </c>
      <c r="F55" s="41">
        <f t="shared" si="11"/>
        <v>5.963636363636365</v>
      </c>
      <c r="G55" s="42">
        <f>COUNTIF(Vertices[In-Degree],"&gt;= "&amp;F55)-COUNTIF(Vertices[In-Degree],"&gt;="&amp;F56)</f>
        <v>0</v>
      </c>
      <c r="H55" s="41">
        <f t="shared" si="12"/>
        <v>2.2363636363636354</v>
      </c>
      <c r="I55" s="42">
        <f>COUNTIF(Vertices[Out-Degree],"&gt;= "&amp;H55)-COUNTIF(Vertices[Out-Degree],"&gt;="&amp;H56)</f>
        <v>0</v>
      </c>
      <c r="J55" s="41">
        <f t="shared" si="13"/>
        <v>15.654545454545474</v>
      </c>
      <c r="K55" s="42">
        <f>COUNTIF(Vertices[Betweenness Centrality],"&gt;= "&amp;J55)-COUNTIF(Vertices[Betweenness Centrality],"&gt;="&amp;J56)</f>
        <v>0</v>
      </c>
      <c r="L55" s="41">
        <f t="shared" si="14"/>
        <v>0.3727272727272728</v>
      </c>
      <c r="M55" s="42">
        <f>COUNTIF(Vertices[Closeness Centrality],"&gt;= "&amp;L55)-COUNTIF(Vertices[Closeness Centrality],"&gt;="&amp;L56)</f>
        <v>0</v>
      </c>
      <c r="N55" s="41">
        <f t="shared" si="15"/>
        <v>0.1413202909090909</v>
      </c>
      <c r="O55" s="42">
        <f>COUNTIF(Vertices[Eigenvector Centrality],"&gt;= "&amp;N55)-COUNTIF(Vertices[Eigenvector Centrality],"&gt;="&amp;N56)</f>
        <v>0</v>
      </c>
      <c r="P55" s="41">
        <f t="shared" si="16"/>
        <v>1.8607668909090906</v>
      </c>
      <c r="Q55" s="42">
        <f>COUNTIF(Vertices[PageRank],"&gt;= "&amp;P55)-COUNTIF(Vertices[PageRank],"&gt;="&amp;P56)</f>
        <v>0</v>
      </c>
      <c r="R55" s="41">
        <f t="shared" si="17"/>
        <v>0.7454545454545456</v>
      </c>
      <c r="S55" s="46">
        <f>COUNTIF(Vertices[Clustering Coefficient],"&gt;= "&amp;R55)-COUNTIF(Vertices[Clustering Coefficient],"&gt;="&amp;R56)</f>
        <v>0</v>
      </c>
      <c r="T55" s="41" t="e">
        <f ca="1" t="shared" si="18"/>
        <v>#REF!</v>
      </c>
      <c r="U55" s="42" t="e">
        <f ca="1" t="shared" si="0"/>
        <v>#REF!</v>
      </c>
    </row>
    <row r="56" spans="1:21" ht="15">
      <c r="A56" s="35" t="s">
        <v>82</v>
      </c>
      <c r="B56" s="48" t="str">
        <f>IF(COUNT(Vertices[Degree])&gt;0,D57,NoMetricMessage)</f>
        <v>Not Available</v>
      </c>
      <c r="D56" s="34">
        <f t="shared" si="10"/>
        <v>0</v>
      </c>
      <c r="E56" s="3">
        <f>COUNTIF(Vertices[Degree],"&gt;= "&amp;D56)-COUNTIF(Vertices[Degree],"&gt;="&amp;D57)</f>
        <v>0</v>
      </c>
      <c r="F56" s="39">
        <f t="shared" si="11"/>
        <v>6.10909090909091</v>
      </c>
      <c r="G56" s="40">
        <f>COUNTIF(Vertices[In-Degree],"&gt;= "&amp;F56)-COUNTIF(Vertices[In-Degree],"&gt;="&amp;F57)</f>
        <v>1</v>
      </c>
      <c r="H56" s="39">
        <f t="shared" si="12"/>
        <v>2.29090909090909</v>
      </c>
      <c r="I56" s="40">
        <f>COUNTIF(Vertices[Out-Degree],"&gt;= "&amp;H56)-COUNTIF(Vertices[Out-Degree],"&gt;="&amp;H57)</f>
        <v>0</v>
      </c>
      <c r="J56" s="39">
        <f t="shared" si="13"/>
        <v>16.036363636363657</v>
      </c>
      <c r="K56" s="40">
        <f>COUNTIF(Vertices[Betweenness Centrality],"&gt;= "&amp;J56)-COUNTIF(Vertices[Betweenness Centrality],"&gt;="&amp;J57)</f>
        <v>0</v>
      </c>
      <c r="L56" s="39">
        <f t="shared" si="14"/>
        <v>0.3818181818181819</v>
      </c>
      <c r="M56" s="40">
        <f>COUNTIF(Vertices[Closeness Centrality],"&gt;= "&amp;L56)-COUNTIF(Vertices[Closeness Centrality],"&gt;="&amp;L57)</f>
        <v>0</v>
      </c>
      <c r="N56" s="39">
        <f t="shared" si="15"/>
        <v>0.14476712727272725</v>
      </c>
      <c r="O56" s="40">
        <f>COUNTIF(Vertices[Eigenvector Centrality],"&gt;= "&amp;N56)-COUNTIF(Vertices[Eigenvector Centrality],"&gt;="&amp;N57)</f>
        <v>0</v>
      </c>
      <c r="P56" s="39">
        <f t="shared" si="16"/>
        <v>1.890678327272727</v>
      </c>
      <c r="Q56" s="40">
        <f>COUNTIF(Vertices[PageRank],"&gt;= "&amp;P56)-COUNTIF(Vertices[PageRank],"&gt;="&amp;P57)</f>
        <v>0</v>
      </c>
      <c r="R56" s="39">
        <f t="shared" si="17"/>
        <v>0.7636363636363638</v>
      </c>
      <c r="S56" s="45">
        <f>COUNTIF(Vertices[Clustering Coefficient],"&gt;= "&amp;R56)-COUNTIF(Vertices[Clustering Coefficient],"&gt;="&amp;R57)</f>
        <v>0</v>
      </c>
      <c r="T56" s="39" t="e">
        <f ca="1" t="shared" si="18"/>
        <v>#REF!</v>
      </c>
      <c r="U56" s="40" t="e">
        <f ca="1" t="shared" si="0"/>
        <v>#REF!</v>
      </c>
    </row>
    <row r="57" spans="1:21" ht="15">
      <c r="A57" s="35" t="s">
        <v>83</v>
      </c>
      <c r="B57" s="49" t="str">
        <f>_xlfn.IFERROR(AVERAGE(Vertices[Degree]),NoMetricMessage)</f>
        <v>Not Available</v>
      </c>
      <c r="D57" s="34">
        <f>MAX(Vertices[Degree])</f>
        <v>0</v>
      </c>
      <c r="E57" s="3">
        <f>COUNTIF(Vertices[Degree],"&gt;= "&amp;D57)-COUNTIF(Vertices[Degree],"&gt;="&amp;D58)</f>
        <v>0</v>
      </c>
      <c r="F57" s="43">
        <f>MAX(Vertices[In-Degree])</f>
        <v>8</v>
      </c>
      <c r="G57" s="44">
        <f>COUNTIF(Vertices[In-Degree],"&gt;= "&amp;F57)-COUNTIF(Vertices[In-Degree],"&gt;="&amp;F58)</f>
        <v>1</v>
      </c>
      <c r="H57" s="43">
        <f>MAX(Vertices[Out-Degree])</f>
        <v>3</v>
      </c>
      <c r="I57" s="44">
        <f>COUNTIF(Vertices[Out-Degree],"&gt;= "&amp;H57)-COUNTIF(Vertices[Out-Degree],"&gt;="&amp;H58)</f>
        <v>1</v>
      </c>
      <c r="J57" s="43">
        <f>MAX(Vertices[Betweenness Centrality])</f>
        <v>21</v>
      </c>
      <c r="K57" s="44">
        <f>COUNTIF(Vertices[Betweenness Centrality],"&gt;= "&amp;J57)-COUNTIF(Vertices[Betweenness Centrality],"&gt;="&amp;J58)</f>
        <v>2</v>
      </c>
      <c r="L57" s="43">
        <f>MAX(Vertices[Closeness Centrality])</f>
        <v>0.5</v>
      </c>
      <c r="M57" s="44">
        <f>COUNTIF(Vertices[Closeness Centrality],"&gt;= "&amp;L57)-COUNTIF(Vertices[Closeness Centrality],"&gt;="&amp;L58)</f>
        <v>4</v>
      </c>
      <c r="N57" s="43">
        <f>MAX(Vertices[Eigenvector Centrality])</f>
        <v>0.189576</v>
      </c>
      <c r="O57" s="44">
        <f>COUNTIF(Vertices[Eigenvector Centrality],"&gt;= "&amp;N57)-COUNTIF(Vertices[Eigenvector Centrality],"&gt;="&amp;N58)</f>
        <v>2</v>
      </c>
      <c r="P57" s="43">
        <f>MAX(Vertices[PageRank])</f>
        <v>2.279527</v>
      </c>
      <c r="Q57" s="44">
        <f>COUNTIF(Vertices[PageRank],"&gt;= "&amp;P57)-COUNTIF(Vertices[PageRank],"&gt;="&amp;P58)</f>
        <v>2</v>
      </c>
      <c r="R57" s="43">
        <f>MAX(Vertices[Clustering Coefficient])</f>
        <v>1</v>
      </c>
      <c r="S57" s="47">
        <f>COUNTIF(Vertices[Clustering Coefficient],"&gt;= "&amp;R57)-COUNTIF(Vertices[Clustering Coefficient],"&gt;="&amp;R58)</f>
        <v>1</v>
      </c>
      <c r="T57" s="43" t="e">
        <f ca="1">MAX(INDIRECT(DynamicFilterSourceColumnRange))</f>
        <v>#REF!</v>
      </c>
      <c r="U57" s="44" t="e">
        <f ca="1" t="shared" si="0"/>
        <v>#REF!</v>
      </c>
    </row>
    <row r="58" spans="1:2" ht="15">
      <c r="A58" s="35" t="s">
        <v>84</v>
      </c>
      <c r="B58" s="49" t="str">
        <f>_xlfn.IFERROR(MEDIAN(Vertices[Degree]),NoMetricMessage)</f>
        <v>Not Available</v>
      </c>
    </row>
    <row r="69" spans="1:2" ht="15">
      <c r="A69" s="35" t="s">
        <v>88</v>
      </c>
      <c r="B69" s="48">
        <f>IF(COUNT(Vertices[In-Degree])&gt;0,F2,NoMetricMessage)</f>
        <v>0</v>
      </c>
    </row>
    <row r="70" spans="1:2" ht="15">
      <c r="A70" s="35" t="s">
        <v>89</v>
      </c>
      <c r="B70" s="48">
        <f>IF(COUNT(Vertices[In-Degree])&gt;0,F57,NoMetricMessage)</f>
        <v>8</v>
      </c>
    </row>
    <row r="71" spans="1:2" ht="15">
      <c r="A71" s="35" t="s">
        <v>90</v>
      </c>
      <c r="B71" s="49">
        <f>_xlfn.IFERROR(AVERAGE(Vertices[In-Degree]),NoMetricMessage)</f>
        <v>1.3703703703703705</v>
      </c>
    </row>
    <row r="72" spans="1:2" ht="15">
      <c r="A72" s="35" t="s">
        <v>91</v>
      </c>
      <c r="B72" s="49">
        <f>_xlfn.IFERROR(MEDIAN(Vertices[In-Degree]),NoMetricMessage)</f>
        <v>1</v>
      </c>
    </row>
    <row r="83" spans="1:2" ht="15">
      <c r="A83" s="35" t="s">
        <v>94</v>
      </c>
      <c r="B83" s="48">
        <f>IF(COUNT(Vertices[Out-Degree])&gt;0,H2,NoMetricMessage)</f>
        <v>0</v>
      </c>
    </row>
    <row r="84" spans="1:2" ht="15">
      <c r="A84" s="35" t="s">
        <v>95</v>
      </c>
      <c r="B84" s="48">
        <f>IF(COUNT(Vertices[Out-Degree])&gt;0,H57,NoMetricMessage)</f>
        <v>3</v>
      </c>
    </row>
    <row r="85" spans="1:2" ht="15">
      <c r="A85" s="35" t="s">
        <v>96</v>
      </c>
      <c r="B85" s="49">
        <f>_xlfn.IFERROR(AVERAGE(Vertices[Out-Degree]),NoMetricMessage)</f>
        <v>1.3703703703703705</v>
      </c>
    </row>
    <row r="86" spans="1:2" ht="15">
      <c r="A86" s="35" t="s">
        <v>97</v>
      </c>
      <c r="B86" s="49">
        <f>_xlfn.IFERROR(MEDIAN(Vertices[Out-Degree]),NoMetricMessage)</f>
        <v>2</v>
      </c>
    </row>
    <row r="97" spans="1:2" ht="15">
      <c r="A97" s="35" t="s">
        <v>100</v>
      </c>
      <c r="B97" s="49">
        <f>IF(COUNT(Vertices[Betweenness Centrality])&gt;0,J2,NoMetricMessage)</f>
        <v>0</v>
      </c>
    </row>
    <row r="98" spans="1:2" ht="15">
      <c r="A98" s="35" t="s">
        <v>101</v>
      </c>
      <c r="B98" s="49">
        <f>IF(COUNT(Vertices[Betweenness Centrality])&gt;0,J57,NoMetricMessage)</f>
        <v>21</v>
      </c>
    </row>
    <row r="99" spans="1:2" ht="15">
      <c r="A99" s="35" t="s">
        <v>102</v>
      </c>
      <c r="B99" s="49">
        <f>_xlfn.IFERROR(AVERAGE(Vertices[Betweenness Centrality]),NoMetricMessage)</f>
        <v>2.1481481481481484</v>
      </c>
    </row>
    <row r="100" spans="1:2" ht="15">
      <c r="A100" s="35" t="s">
        <v>103</v>
      </c>
      <c r="B100" s="49">
        <f>_xlfn.IFERROR(MEDIAN(Vertices[Betweenness Centrality]),NoMetricMessage)</f>
        <v>0</v>
      </c>
    </row>
    <row r="111" spans="1:2" ht="15">
      <c r="A111" s="35" t="s">
        <v>106</v>
      </c>
      <c r="B111" s="49">
        <f>IF(COUNT(Vertices[Closeness Centrality])&gt;0,L2,NoMetricMessage)</f>
        <v>0</v>
      </c>
    </row>
    <row r="112" spans="1:2" ht="15">
      <c r="A112" s="35" t="s">
        <v>107</v>
      </c>
      <c r="B112" s="49">
        <f>IF(COUNT(Vertices[Closeness Centrality])&gt;0,L57,NoMetricMessage)</f>
        <v>0.5</v>
      </c>
    </row>
    <row r="113" spans="1:2" ht="15">
      <c r="A113" s="35" t="s">
        <v>108</v>
      </c>
      <c r="B113" s="49">
        <f>_xlfn.IFERROR(AVERAGE(Vertices[Closeness Centrality]),NoMetricMessage)</f>
        <v>0.1975310370370371</v>
      </c>
    </row>
    <row r="114" spans="1:2" ht="15">
      <c r="A114" s="35" t="s">
        <v>109</v>
      </c>
      <c r="B114" s="49">
        <f>_xlfn.IFERROR(MEDIAN(Vertices[Closeness Centrality]),NoMetricMessage)</f>
        <v>0.166667</v>
      </c>
    </row>
    <row r="125" spans="1:2" ht="15">
      <c r="A125" s="35" t="s">
        <v>112</v>
      </c>
      <c r="B125" s="49">
        <f>IF(COUNT(Vertices[Eigenvector Centrality])&gt;0,N2,NoMetricMessage)</f>
        <v>0</v>
      </c>
    </row>
    <row r="126" spans="1:2" ht="15">
      <c r="A126" s="35" t="s">
        <v>113</v>
      </c>
      <c r="B126" s="49">
        <f>IF(COUNT(Vertices[Eigenvector Centrality])&gt;0,N57,NoMetricMessage)</f>
        <v>0.189576</v>
      </c>
    </row>
    <row r="127" spans="1:2" ht="15">
      <c r="A127" s="35" t="s">
        <v>114</v>
      </c>
      <c r="B127" s="49">
        <f>_xlfn.IFERROR(AVERAGE(Vertices[Eigenvector Centrality]),NoMetricMessage)</f>
        <v>0.03703688888888888</v>
      </c>
    </row>
    <row r="128" spans="1:2" ht="15">
      <c r="A128" s="35" t="s">
        <v>115</v>
      </c>
      <c r="B128" s="49">
        <f>_xlfn.IFERROR(MEDIAN(Vertices[Eigenvector Centrality]),NoMetricMessage)</f>
        <v>0</v>
      </c>
    </row>
    <row r="139" spans="1:2" ht="15">
      <c r="A139" s="35" t="s">
        <v>140</v>
      </c>
      <c r="B139" s="49">
        <f>IF(COUNT(Vertices[PageRank])&gt;0,P2,NoMetricMessage)</f>
        <v>0.634398</v>
      </c>
    </row>
    <row r="140" spans="1:2" ht="15">
      <c r="A140" s="35" t="s">
        <v>141</v>
      </c>
      <c r="B140" s="49">
        <f>IF(COUNT(Vertices[PageRank])&gt;0,P57,NoMetricMessage)</f>
        <v>2.279527</v>
      </c>
    </row>
    <row r="141" spans="1:2" ht="15">
      <c r="A141" s="35" t="s">
        <v>142</v>
      </c>
      <c r="B141" s="49">
        <f>_xlfn.IFERROR(AVERAGE(Vertices[PageRank]),NoMetricMessage)</f>
        <v>0.999982</v>
      </c>
    </row>
    <row r="142" spans="1:2" ht="15">
      <c r="A142" s="35" t="s">
        <v>143</v>
      </c>
      <c r="B142" s="49">
        <f>_xlfn.IFERROR(MEDIAN(Vertices[PageRank]),NoMetricMessage)</f>
        <v>0.850862</v>
      </c>
    </row>
    <row r="153" spans="1:2" ht="15">
      <c r="A153" s="35" t="s">
        <v>118</v>
      </c>
      <c r="B153" s="49">
        <f>IF(COUNT(Vertices[Clustering Coefficient])&gt;0,R2,NoMetricMessage)</f>
        <v>0</v>
      </c>
    </row>
    <row r="154" spans="1:2" ht="15">
      <c r="A154" s="35" t="s">
        <v>119</v>
      </c>
      <c r="B154" s="49">
        <f>IF(COUNT(Vertices[Clustering Coefficient])&gt;0,R57,NoMetricMessage)</f>
        <v>1</v>
      </c>
    </row>
    <row r="155" spans="1:2" ht="15">
      <c r="A155" s="35" t="s">
        <v>120</v>
      </c>
      <c r="B155" s="49">
        <f>_xlfn.IFERROR(AVERAGE(Vertices[Clustering Coefficient]),NoMetricMessage)</f>
        <v>0.36728395061728397</v>
      </c>
    </row>
    <row r="156" spans="1:2" ht="15">
      <c r="A156" s="35" t="s">
        <v>121</v>
      </c>
      <c r="B156" s="49">
        <f>_xlfn.IFERROR(MEDIAN(Vertices[Clustering Coefficient]),NoMetricMessage)</f>
        <v>0.5</v>
      </c>
    </row>
  </sheetData>
  <printOptions/>
  <pageMargins left="0.7" right="0.7" top="0.75" bottom="0.75" header="0.3" footer="0.3"/>
  <pageSetup horizontalDpi="600" verticalDpi="600" orientation="portrait" r:id="rId8"/>
  <drawing r:id="rId7"/>
  <legacyDrawing r:id="rId2"/>
  <tableParts>
    <tablePart r:id="rId4"/>
    <tablePart r:id="rId6"/>
    <tablePart r:id="rId5"/>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576</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577</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578</v>
      </c>
      <c r="K7" s="13" t="s">
        <v>579</v>
      </c>
    </row>
    <row r="8" spans="1:11" ht="409.5">
      <c r="A8"/>
      <c r="B8">
        <v>2</v>
      </c>
      <c r="C8">
        <v>2</v>
      </c>
      <c r="D8" t="s">
        <v>61</v>
      </c>
      <c r="E8" t="s">
        <v>61</v>
      </c>
      <c r="H8" t="s">
        <v>73</v>
      </c>
      <c r="J8" t="s">
        <v>580</v>
      </c>
      <c r="K8" s="13" t="s">
        <v>581</v>
      </c>
    </row>
    <row r="9" spans="1:11" ht="409.5">
      <c r="A9"/>
      <c r="B9">
        <v>3</v>
      </c>
      <c r="C9">
        <v>4</v>
      </c>
      <c r="D9" t="s">
        <v>62</v>
      </c>
      <c r="E9" t="s">
        <v>62</v>
      </c>
      <c r="H9" t="s">
        <v>74</v>
      </c>
      <c r="J9" t="s">
        <v>582</v>
      </c>
      <c r="K9" s="116" t="s">
        <v>583</v>
      </c>
    </row>
    <row r="10" spans="1:11" ht="409.5">
      <c r="A10"/>
      <c r="B10">
        <v>4</v>
      </c>
      <c r="D10" t="s">
        <v>63</v>
      </c>
      <c r="E10" t="s">
        <v>63</v>
      </c>
      <c r="H10" t="s">
        <v>75</v>
      </c>
      <c r="J10" t="s">
        <v>584</v>
      </c>
      <c r="K10" s="13" t="s">
        <v>585</v>
      </c>
    </row>
    <row r="11" spans="1:11" ht="15">
      <c r="A11"/>
      <c r="B11">
        <v>5</v>
      </c>
      <c r="D11" t="s">
        <v>46</v>
      </c>
      <c r="E11">
        <v>1</v>
      </c>
      <c r="H11" t="s">
        <v>76</v>
      </c>
      <c r="J11" t="s">
        <v>586</v>
      </c>
      <c r="K11" t="s">
        <v>587</v>
      </c>
    </row>
    <row r="12" spans="1:11" ht="15">
      <c r="A12"/>
      <c r="B12"/>
      <c r="D12" t="s">
        <v>64</v>
      </c>
      <c r="E12">
        <v>2</v>
      </c>
      <c r="H12">
        <v>0</v>
      </c>
      <c r="J12" t="s">
        <v>588</v>
      </c>
      <c r="K12" t="s">
        <v>589</v>
      </c>
    </row>
    <row r="13" spans="1:11" ht="15">
      <c r="A13"/>
      <c r="B13"/>
      <c r="D13">
        <v>1</v>
      </c>
      <c r="E13">
        <v>3</v>
      </c>
      <c r="H13">
        <v>1</v>
      </c>
      <c r="J13" t="s">
        <v>590</v>
      </c>
      <c r="K13" t="s">
        <v>591</v>
      </c>
    </row>
    <row r="14" spans="4:11" ht="15">
      <c r="D14">
        <v>2</v>
      </c>
      <c r="E14">
        <v>4</v>
      </c>
      <c r="H14">
        <v>2</v>
      </c>
      <c r="J14" t="s">
        <v>592</v>
      </c>
      <c r="K14" t="s">
        <v>593</v>
      </c>
    </row>
    <row r="15" spans="4:11" ht="15">
      <c r="D15">
        <v>3</v>
      </c>
      <c r="E15">
        <v>5</v>
      </c>
      <c r="H15">
        <v>3</v>
      </c>
      <c r="J15" t="s">
        <v>594</v>
      </c>
      <c r="K15" t="s">
        <v>595</v>
      </c>
    </row>
    <row r="16" spans="4:11" ht="15">
      <c r="D16">
        <v>4</v>
      </c>
      <c r="E16">
        <v>6</v>
      </c>
      <c r="H16">
        <v>4</v>
      </c>
      <c r="J16" t="s">
        <v>596</v>
      </c>
      <c r="K16" t="s">
        <v>597</v>
      </c>
    </row>
    <row r="17" spans="4:11" ht="15">
      <c r="D17">
        <v>5</v>
      </c>
      <c r="E17">
        <v>7</v>
      </c>
      <c r="H17">
        <v>5</v>
      </c>
      <c r="J17" t="s">
        <v>598</v>
      </c>
      <c r="K17" t="s">
        <v>599</v>
      </c>
    </row>
    <row r="18" spans="4:11" ht="15">
      <c r="D18">
        <v>6</v>
      </c>
      <c r="E18">
        <v>8</v>
      </c>
      <c r="H18">
        <v>6</v>
      </c>
      <c r="J18" t="s">
        <v>600</v>
      </c>
      <c r="K18" t="s">
        <v>601</v>
      </c>
    </row>
    <row r="19" spans="4:11" ht="15">
      <c r="D19">
        <v>7</v>
      </c>
      <c r="E19">
        <v>9</v>
      </c>
      <c r="H19">
        <v>7</v>
      </c>
      <c r="J19" t="s">
        <v>602</v>
      </c>
      <c r="K19" t="s">
        <v>603</v>
      </c>
    </row>
    <row r="20" spans="4:11" ht="15">
      <c r="D20">
        <v>8</v>
      </c>
      <c r="H20">
        <v>8</v>
      </c>
      <c r="J20" t="s">
        <v>604</v>
      </c>
      <c r="K20" t="s">
        <v>605</v>
      </c>
    </row>
    <row r="21" spans="4:11" ht="409.5">
      <c r="D21">
        <v>9</v>
      </c>
      <c r="H21">
        <v>9</v>
      </c>
      <c r="J21" t="s">
        <v>606</v>
      </c>
      <c r="K21" s="13" t="s">
        <v>607</v>
      </c>
    </row>
    <row r="22" spans="4:11" ht="409.5">
      <c r="D22">
        <v>10</v>
      </c>
      <c r="J22" t="s">
        <v>608</v>
      </c>
      <c r="K22" s="13" t="s">
        <v>609</v>
      </c>
    </row>
    <row r="23" spans="4:11" ht="409.5">
      <c r="D23">
        <v>11</v>
      </c>
      <c r="J23" t="s">
        <v>610</v>
      </c>
      <c r="K23" s="13" t="s">
        <v>611</v>
      </c>
    </row>
    <row r="24" spans="10:11" ht="409.5">
      <c r="J24" t="s">
        <v>612</v>
      </c>
      <c r="K24" s="13" t="s">
        <v>912</v>
      </c>
    </row>
    <row r="25" spans="10:11" ht="15">
      <c r="J25" t="s">
        <v>613</v>
      </c>
      <c r="K25" t="b">
        <v>0</v>
      </c>
    </row>
    <row r="26" spans="10:11" ht="15">
      <c r="J26" t="s">
        <v>909</v>
      </c>
      <c r="K26" t="s">
        <v>910</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workbookViewId="0" topLeftCell="A1"/>
  </sheetViews>
  <sheetFormatPr defaultColWidth="9.140625" defaultRowHeight="15"/>
  <cols>
    <col min="1" max="1" width="10.00390625" style="0" customWidth="1"/>
    <col min="2" max="2" width="10.00390625" style="0" bestFit="1" customWidth="1"/>
    <col min="3" max="3" width="13.421875" style="0" bestFit="1" customWidth="1"/>
  </cols>
  <sheetData>
    <row r="1" ht="15">
      <c r="C1" s="35" t="s">
        <v>42</v>
      </c>
    </row>
    <row r="2" spans="1:3" ht="15" customHeight="1">
      <c r="A2" s="13" t="s">
        <v>630</v>
      </c>
      <c r="B2" s="129" t="s">
        <v>631</v>
      </c>
      <c r="C2" s="67" t="s">
        <v>632</v>
      </c>
    </row>
    <row r="3" spans="1:3" ht="15">
      <c r="A3" s="128" t="s">
        <v>615</v>
      </c>
      <c r="B3" s="128" t="s">
        <v>615</v>
      </c>
      <c r="C3" s="36">
        <v>15</v>
      </c>
    </row>
    <row r="4" spans="1:3" ht="15">
      <c r="A4" s="128" t="s">
        <v>616</v>
      </c>
      <c r="B4" s="128" t="s">
        <v>616</v>
      </c>
      <c r="C4" s="36">
        <v>7</v>
      </c>
    </row>
    <row r="5" spans="1:3" ht="15">
      <c r="A5" s="128" t="s">
        <v>617</v>
      </c>
      <c r="B5" s="128" t="s">
        <v>617</v>
      </c>
      <c r="C5" s="36">
        <v>7</v>
      </c>
    </row>
    <row r="6" spans="1:3" ht="15">
      <c r="A6" s="128" t="s">
        <v>618</v>
      </c>
      <c r="B6" s="128" t="s">
        <v>618</v>
      </c>
      <c r="C6" s="36">
        <v>5</v>
      </c>
    </row>
    <row r="7" spans="1:3" ht="15">
      <c r="A7" s="128" t="s">
        <v>619</v>
      </c>
      <c r="B7" s="128" t="s">
        <v>619</v>
      </c>
      <c r="C7" s="36">
        <v>2</v>
      </c>
    </row>
    <row r="8" spans="1:3" ht="15">
      <c r="A8" s="128" t="s">
        <v>620</v>
      </c>
      <c r="B8" s="128" t="s">
        <v>620</v>
      </c>
      <c r="C8" s="36">
        <v>5</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2"/>
  <sheetViews>
    <sheetView workbookViewId="0" topLeftCell="A1"/>
  </sheetViews>
  <sheetFormatPr defaultColWidth="9.140625" defaultRowHeight="15"/>
  <cols>
    <col min="1" max="1" width="39.7109375" style="0" customWidth="1"/>
    <col min="2" max="2" width="20.140625" style="0" bestFit="1" customWidth="1"/>
    <col min="3" max="3" width="29.7109375" style="0" customWidth="1"/>
    <col min="4" max="4" width="11.140625" style="0" bestFit="1" customWidth="1"/>
    <col min="5" max="5" width="29.7109375" style="0" customWidth="1"/>
    <col min="6" max="6" width="11.140625" style="0" bestFit="1" customWidth="1"/>
    <col min="7" max="7" width="29.7109375" style="0" customWidth="1"/>
    <col min="8" max="8" width="11.140625" style="0" bestFit="1" customWidth="1"/>
    <col min="9" max="9" width="29.7109375" style="0" customWidth="1"/>
    <col min="10" max="10" width="11.140625" style="0" bestFit="1" customWidth="1"/>
    <col min="11" max="11" width="29.7109375" style="0" customWidth="1"/>
    <col min="12" max="12" width="11.140625" style="0" bestFit="1" customWidth="1"/>
    <col min="13" max="13" width="29.7109375" style="0" customWidth="1"/>
    <col min="14" max="14" width="11.140625" style="0" bestFit="1" customWidth="1"/>
  </cols>
  <sheetData>
    <row r="1" spans="1:14" ht="15" customHeight="1">
      <c r="A1" s="13" t="s">
        <v>637</v>
      </c>
      <c r="B1" s="13" t="s">
        <v>640</v>
      </c>
      <c r="C1" s="85" t="s">
        <v>641</v>
      </c>
      <c r="D1" s="85" t="s">
        <v>643</v>
      </c>
      <c r="E1" s="13" t="s">
        <v>642</v>
      </c>
      <c r="F1" s="13" t="s">
        <v>645</v>
      </c>
      <c r="G1" s="85" t="s">
        <v>644</v>
      </c>
      <c r="H1" s="85" t="s">
        <v>647</v>
      </c>
      <c r="I1" s="85" t="s">
        <v>646</v>
      </c>
      <c r="J1" s="85" t="s">
        <v>649</v>
      </c>
      <c r="K1" s="13" t="s">
        <v>648</v>
      </c>
      <c r="L1" s="13" t="s">
        <v>651</v>
      </c>
      <c r="M1" s="13" t="s">
        <v>650</v>
      </c>
      <c r="N1" s="13" t="s">
        <v>652</v>
      </c>
    </row>
    <row r="2" spans="1:14" ht="15">
      <c r="A2" s="90" t="s">
        <v>261</v>
      </c>
      <c r="B2" s="85">
        <v>2</v>
      </c>
      <c r="C2" s="85"/>
      <c r="D2" s="85"/>
      <c r="E2" s="90" t="s">
        <v>259</v>
      </c>
      <c r="F2" s="85">
        <v>1</v>
      </c>
      <c r="G2" s="85"/>
      <c r="H2" s="85"/>
      <c r="I2" s="85"/>
      <c r="J2" s="85"/>
      <c r="K2" s="90" t="s">
        <v>260</v>
      </c>
      <c r="L2" s="85">
        <v>1</v>
      </c>
      <c r="M2" s="90" t="s">
        <v>261</v>
      </c>
      <c r="N2" s="85">
        <v>2</v>
      </c>
    </row>
    <row r="3" spans="1:14" ht="15">
      <c r="A3" s="90" t="s">
        <v>263</v>
      </c>
      <c r="B3" s="85">
        <v>1</v>
      </c>
      <c r="C3" s="85"/>
      <c r="D3" s="85"/>
      <c r="E3" s="85"/>
      <c r="F3" s="85"/>
      <c r="G3" s="85"/>
      <c r="H3" s="85"/>
      <c r="I3" s="85"/>
      <c r="J3" s="85"/>
      <c r="K3" s="85"/>
      <c r="L3" s="85"/>
      <c r="M3" s="90" t="s">
        <v>263</v>
      </c>
      <c r="N3" s="85">
        <v>1</v>
      </c>
    </row>
    <row r="4" spans="1:14" ht="15">
      <c r="A4" s="90" t="s">
        <v>638</v>
      </c>
      <c r="B4" s="85">
        <v>1</v>
      </c>
      <c r="C4" s="85"/>
      <c r="D4" s="85"/>
      <c r="E4" s="85"/>
      <c r="F4" s="85"/>
      <c r="G4" s="85"/>
      <c r="H4" s="85"/>
      <c r="I4" s="85"/>
      <c r="J4" s="85"/>
      <c r="K4" s="85"/>
      <c r="L4" s="85"/>
      <c r="M4" s="90" t="s">
        <v>638</v>
      </c>
      <c r="N4" s="85">
        <v>1</v>
      </c>
    </row>
    <row r="5" spans="1:14" ht="15">
      <c r="A5" s="90" t="s">
        <v>639</v>
      </c>
      <c r="B5" s="85">
        <v>1</v>
      </c>
      <c r="C5" s="85"/>
      <c r="D5" s="85"/>
      <c r="E5" s="85"/>
      <c r="F5" s="85"/>
      <c r="G5" s="85"/>
      <c r="H5" s="85"/>
      <c r="I5" s="85"/>
      <c r="J5" s="85"/>
      <c r="K5" s="85"/>
      <c r="L5" s="85"/>
      <c r="M5" s="90" t="s">
        <v>639</v>
      </c>
      <c r="N5" s="85">
        <v>1</v>
      </c>
    </row>
    <row r="6" spans="1:14" ht="15">
      <c r="A6" s="90" t="s">
        <v>260</v>
      </c>
      <c r="B6" s="85">
        <v>1</v>
      </c>
      <c r="C6" s="85"/>
      <c r="D6" s="85"/>
      <c r="E6" s="85"/>
      <c r="F6" s="85"/>
      <c r="G6" s="85"/>
      <c r="H6" s="85"/>
      <c r="I6" s="85"/>
      <c r="J6" s="85"/>
      <c r="K6" s="85"/>
      <c r="L6" s="85"/>
      <c r="M6" s="85"/>
      <c r="N6" s="85"/>
    </row>
    <row r="7" spans="1:14" ht="15">
      <c r="A7" s="90" t="s">
        <v>259</v>
      </c>
      <c r="B7" s="85">
        <v>1</v>
      </c>
      <c r="C7" s="85"/>
      <c r="D7" s="85"/>
      <c r="E7" s="85"/>
      <c r="F7" s="85"/>
      <c r="G7" s="85"/>
      <c r="H7" s="85"/>
      <c r="I7" s="85"/>
      <c r="J7" s="85"/>
      <c r="K7" s="85"/>
      <c r="L7" s="85"/>
      <c r="M7" s="85"/>
      <c r="N7" s="85"/>
    </row>
    <row r="10" spans="1:14" ht="15" customHeight="1">
      <c r="A10" s="13" t="s">
        <v>655</v>
      </c>
      <c r="B10" s="13" t="s">
        <v>640</v>
      </c>
      <c r="C10" s="85" t="s">
        <v>657</v>
      </c>
      <c r="D10" s="85" t="s">
        <v>643</v>
      </c>
      <c r="E10" s="13" t="s">
        <v>658</v>
      </c>
      <c r="F10" s="13" t="s">
        <v>645</v>
      </c>
      <c r="G10" s="85" t="s">
        <v>659</v>
      </c>
      <c r="H10" s="85" t="s">
        <v>647</v>
      </c>
      <c r="I10" s="85" t="s">
        <v>660</v>
      </c>
      <c r="J10" s="85" t="s">
        <v>649</v>
      </c>
      <c r="K10" s="13" t="s">
        <v>661</v>
      </c>
      <c r="L10" s="13" t="s">
        <v>651</v>
      </c>
      <c r="M10" s="13" t="s">
        <v>662</v>
      </c>
      <c r="N10" s="13" t="s">
        <v>652</v>
      </c>
    </row>
    <row r="11" spans="1:14" ht="15">
      <c r="A11" s="85" t="s">
        <v>656</v>
      </c>
      <c r="B11" s="85">
        <v>2</v>
      </c>
      <c r="C11" s="85"/>
      <c r="D11" s="85"/>
      <c r="E11" s="85" t="s">
        <v>264</v>
      </c>
      <c r="F11" s="85">
        <v>1</v>
      </c>
      <c r="G11" s="85"/>
      <c r="H11" s="85"/>
      <c r="I11" s="85"/>
      <c r="J11" s="85"/>
      <c r="K11" s="85" t="s">
        <v>265</v>
      </c>
      <c r="L11" s="85">
        <v>1</v>
      </c>
      <c r="M11" s="85" t="s">
        <v>266</v>
      </c>
      <c r="N11" s="85">
        <v>2</v>
      </c>
    </row>
    <row r="12" spans="1:14" ht="15">
      <c r="A12" s="85" t="s">
        <v>266</v>
      </c>
      <c r="B12" s="85">
        <v>2</v>
      </c>
      <c r="C12" s="85"/>
      <c r="D12" s="85"/>
      <c r="E12" s="85"/>
      <c r="F12" s="85"/>
      <c r="G12" s="85"/>
      <c r="H12" s="85"/>
      <c r="I12" s="85"/>
      <c r="J12" s="85"/>
      <c r="K12" s="85"/>
      <c r="L12" s="85"/>
      <c r="M12" s="85" t="s">
        <v>656</v>
      </c>
      <c r="N12" s="85">
        <v>2</v>
      </c>
    </row>
    <row r="13" spans="1:14" ht="15">
      <c r="A13" s="85" t="s">
        <v>268</v>
      </c>
      <c r="B13" s="85">
        <v>1</v>
      </c>
      <c r="C13" s="85"/>
      <c r="D13" s="85"/>
      <c r="E13" s="85"/>
      <c r="F13" s="85"/>
      <c r="G13" s="85"/>
      <c r="H13" s="85"/>
      <c r="I13" s="85"/>
      <c r="J13" s="85"/>
      <c r="K13" s="85"/>
      <c r="L13" s="85"/>
      <c r="M13" s="85" t="s">
        <v>268</v>
      </c>
      <c r="N13" s="85">
        <v>1</v>
      </c>
    </row>
    <row r="14" spans="1:14" ht="15">
      <c r="A14" s="85" t="s">
        <v>265</v>
      </c>
      <c r="B14" s="85">
        <v>1</v>
      </c>
      <c r="C14" s="85"/>
      <c r="D14" s="85"/>
      <c r="E14" s="85"/>
      <c r="F14" s="85"/>
      <c r="G14" s="85"/>
      <c r="H14" s="85"/>
      <c r="I14" s="85"/>
      <c r="J14" s="85"/>
      <c r="K14" s="85"/>
      <c r="L14" s="85"/>
      <c r="M14" s="85"/>
      <c r="N14" s="85"/>
    </row>
    <row r="15" spans="1:14" ht="15">
      <c r="A15" s="85" t="s">
        <v>264</v>
      </c>
      <c r="B15" s="85">
        <v>1</v>
      </c>
      <c r="C15" s="85"/>
      <c r="D15" s="85"/>
      <c r="E15" s="85"/>
      <c r="F15" s="85"/>
      <c r="G15" s="85"/>
      <c r="H15" s="85"/>
      <c r="I15" s="85"/>
      <c r="J15" s="85"/>
      <c r="K15" s="85"/>
      <c r="L15" s="85"/>
      <c r="M15" s="85"/>
      <c r="N15" s="85"/>
    </row>
    <row r="18" spans="1:14" ht="15" customHeight="1">
      <c r="A18" s="13" t="s">
        <v>665</v>
      </c>
      <c r="B18" s="13" t="s">
        <v>640</v>
      </c>
      <c r="C18" s="85" t="s">
        <v>672</v>
      </c>
      <c r="D18" s="85" t="s">
        <v>643</v>
      </c>
      <c r="E18" s="13" t="s">
        <v>673</v>
      </c>
      <c r="F18" s="13" t="s">
        <v>645</v>
      </c>
      <c r="G18" s="85" t="s">
        <v>674</v>
      </c>
      <c r="H18" s="85" t="s">
        <v>647</v>
      </c>
      <c r="I18" s="13" t="s">
        <v>675</v>
      </c>
      <c r="J18" s="13" t="s">
        <v>649</v>
      </c>
      <c r="K18" s="13" t="s">
        <v>676</v>
      </c>
      <c r="L18" s="13" t="s">
        <v>651</v>
      </c>
      <c r="M18" s="13" t="s">
        <v>677</v>
      </c>
      <c r="N18" s="13" t="s">
        <v>652</v>
      </c>
    </row>
    <row r="19" spans="1:14" ht="15">
      <c r="A19" s="85" t="s">
        <v>269</v>
      </c>
      <c r="B19" s="85">
        <v>8</v>
      </c>
      <c r="C19" s="85"/>
      <c r="D19" s="85"/>
      <c r="E19" s="85" t="s">
        <v>269</v>
      </c>
      <c r="F19" s="85">
        <v>2</v>
      </c>
      <c r="G19" s="85"/>
      <c r="H19" s="85"/>
      <c r="I19" s="85" t="s">
        <v>269</v>
      </c>
      <c r="J19" s="85">
        <v>4</v>
      </c>
      <c r="K19" s="85" t="s">
        <v>667</v>
      </c>
      <c r="L19" s="85">
        <v>1</v>
      </c>
      <c r="M19" s="85" t="s">
        <v>269</v>
      </c>
      <c r="N19" s="85">
        <v>1</v>
      </c>
    </row>
    <row r="20" spans="1:14" ht="15">
      <c r="A20" s="85" t="s">
        <v>666</v>
      </c>
      <c r="B20" s="85">
        <v>1</v>
      </c>
      <c r="C20" s="85"/>
      <c r="D20" s="85"/>
      <c r="E20" s="85" t="s">
        <v>669</v>
      </c>
      <c r="F20" s="85">
        <v>1</v>
      </c>
      <c r="G20" s="85"/>
      <c r="H20" s="85"/>
      <c r="I20" s="85" t="s">
        <v>666</v>
      </c>
      <c r="J20" s="85">
        <v>1</v>
      </c>
      <c r="K20" s="85" t="s">
        <v>668</v>
      </c>
      <c r="L20" s="85">
        <v>1</v>
      </c>
      <c r="M20" s="85"/>
      <c r="N20" s="85"/>
    </row>
    <row r="21" spans="1:14" ht="15">
      <c r="A21" s="85" t="s">
        <v>667</v>
      </c>
      <c r="B21" s="85">
        <v>1</v>
      </c>
      <c r="C21" s="85"/>
      <c r="D21" s="85"/>
      <c r="E21" s="85" t="s">
        <v>670</v>
      </c>
      <c r="F21" s="85">
        <v>1</v>
      </c>
      <c r="G21" s="85"/>
      <c r="H21" s="85"/>
      <c r="I21" s="85"/>
      <c r="J21" s="85"/>
      <c r="K21" s="85" t="s">
        <v>269</v>
      </c>
      <c r="L21" s="85">
        <v>1</v>
      </c>
      <c r="M21" s="85"/>
      <c r="N21" s="85"/>
    </row>
    <row r="22" spans="1:14" ht="15">
      <c r="A22" s="85" t="s">
        <v>668</v>
      </c>
      <c r="B22" s="85">
        <v>1</v>
      </c>
      <c r="C22" s="85"/>
      <c r="D22" s="85"/>
      <c r="E22" s="85" t="s">
        <v>671</v>
      </c>
      <c r="F22" s="85">
        <v>1</v>
      </c>
      <c r="G22" s="85"/>
      <c r="H22" s="85"/>
      <c r="I22" s="85"/>
      <c r="J22" s="85"/>
      <c r="K22" s="85"/>
      <c r="L22" s="85"/>
      <c r="M22" s="85"/>
      <c r="N22" s="85"/>
    </row>
    <row r="23" spans="1:14" ht="15">
      <c r="A23" s="85" t="s">
        <v>669</v>
      </c>
      <c r="B23" s="85">
        <v>1</v>
      </c>
      <c r="C23" s="85"/>
      <c r="D23" s="85"/>
      <c r="E23" s="85"/>
      <c r="F23" s="85"/>
      <c r="G23" s="85"/>
      <c r="H23" s="85"/>
      <c r="I23" s="85"/>
      <c r="J23" s="85"/>
      <c r="K23" s="85"/>
      <c r="L23" s="85"/>
      <c r="M23" s="85"/>
      <c r="N23" s="85"/>
    </row>
    <row r="24" spans="1:14" ht="15">
      <c r="A24" s="85" t="s">
        <v>670</v>
      </c>
      <c r="B24" s="85">
        <v>1</v>
      </c>
      <c r="C24" s="85"/>
      <c r="D24" s="85"/>
      <c r="E24" s="85"/>
      <c r="F24" s="85"/>
      <c r="G24" s="85"/>
      <c r="H24" s="85"/>
      <c r="I24" s="85"/>
      <c r="J24" s="85"/>
      <c r="K24" s="85"/>
      <c r="L24" s="85"/>
      <c r="M24" s="85"/>
      <c r="N24" s="85"/>
    </row>
    <row r="25" spans="1:14" ht="15">
      <c r="A25" s="85" t="s">
        <v>671</v>
      </c>
      <c r="B25" s="85">
        <v>1</v>
      </c>
      <c r="C25" s="85"/>
      <c r="D25" s="85"/>
      <c r="E25" s="85"/>
      <c r="F25" s="85"/>
      <c r="G25" s="85"/>
      <c r="H25" s="85"/>
      <c r="I25" s="85"/>
      <c r="J25" s="85"/>
      <c r="K25" s="85"/>
      <c r="L25" s="85"/>
      <c r="M25" s="85"/>
      <c r="N25" s="85"/>
    </row>
    <row r="28" spans="1:14" ht="15" customHeight="1">
      <c r="A28" s="13" t="s">
        <v>679</v>
      </c>
      <c r="B28" s="13" t="s">
        <v>640</v>
      </c>
      <c r="C28" s="13" t="s">
        <v>689</v>
      </c>
      <c r="D28" s="13" t="s">
        <v>643</v>
      </c>
      <c r="E28" s="13" t="s">
        <v>696</v>
      </c>
      <c r="F28" s="13" t="s">
        <v>645</v>
      </c>
      <c r="G28" s="13" t="s">
        <v>702</v>
      </c>
      <c r="H28" s="13" t="s">
        <v>647</v>
      </c>
      <c r="I28" s="13" t="s">
        <v>711</v>
      </c>
      <c r="J28" s="13" t="s">
        <v>649</v>
      </c>
      <c r="K28" s="85" t="s">
        <v>717</v>
      </c>
      <c r="L28" s="85" t="s">
        <v>651</v>
      </c>
      <c r="M28" s="13" t="s">
        <v>718</v>
      </c>
      <c r="N28" s="13" t="s">
        <v>652</v>
      </c>
    </row>
    <row r="29" spans="1:14" ht="15">
      <c r="A29" s="91" t="s">
        <v>680</v>
      </c>
      <c r="B29" s="91">
        <v>4</v>
      </c>
      <c r="C29" s="91" t="s">
        <v>690</v>
      </c>
      <c r="D29" s="91">
        <v>8</v>
      </c>
      <c r="E29" s="91" t="s">
        <v>669</v>
      </c>
      <c r="F29" s="91">
        <v>3</v>
      </c>
      <c r="G29" s="91" t="s">
        <v>703</v>
      </c>
      <c r="H29" s="91">
        <v>4</v>
      </c>
      <c r="I29" s="91" t="s">
        <v>668</v>
      </c>
      <c r="J29" s="91">
        <v>4</v>
      </c>
      <c r="K29" s="91"/>
      <c r="L29" s="91"/>
      <c r="M29" s="91" t="s">
        <v>668</v>
      </c>
      <c r="N29" s="91">
        <v>2</v>
      </c>
    </row>
    <row r="30" spans="1:14" ht="15">
      <c r="A30" s="91" t="s">
        <v>681</v>
      </c>
      <c r="B30" s="91">
        <v>3</v>
      </c>
      <c r="C30" s="91" t="s">
        <v>691</v>
      </c>
      <c r="D30" s="91">
        <v>8</v>
      </c>
      <c r="E30" s="91" t="s">
        <v>225</v>
      </c>
      <c r="F30" s="91">
        <v>2</v>
      </c>
      <c r="G30" s="91" t="s">
        <v>233</v>
      </c>
      <c r="H30" s="91">
        <v>4</v>
      </c>
      <c r="I30" s="91" t="s">
        <v>685</v>
      </c>
      <c r="J30" s="91">
        <v>4</v>
      </c>
      <c r="K30" s="91"/>
      <c r="L30" s="91"/>
      <c r="M30" s="91" t="s">
        <v>719</v>
      </c>
      <c r="N30" s="91">
        <v>2</v>
      </c>
    </row>
    <row r="31" spans="1:14" ht="15">
      <c r="A31" s="91" t="s">
        <v>682</v>
      </c>
      <c r="B31" s="91">
        <v>0</v>
      </c>
      <c r="C31" s="91" t="s">
        <v>687</v>
      </c>
      <c r="D31" s="91">
        <v>8</v>
      </c>
      <c r="E31" s="91" t="s">
        <v>235</v>
      </c>
      <c r="F31" s="91">
        <v>2</v>
      </c>
      <c r="G31" s="91" t="s">
        <v>704</v>
      </c>
      <c r="H31" s="91">
        <v>4</v>
      </c>
      <c r="I31" s="91" t="s">
        <v>688</v>
      </c>
      <c r="J31" s="91">
        <v>4</v>
      </c>
      <c r="K31" s="91"/>
      <c r="L31" s="91"/>
      <c r="M31" s="91" t="s">
        <v>720</v>
      </c>
      <c r="N31" s="91">
        <v>2</v>
      </c>
    </row>
    <row r="32" spans="1:14" ht="15">
      <c r="A32" s="91" t="s">
        <v>683</v>
      </c>
      <c r="B32" s="91">
        <v>496</v>
      </c>
      <c r="C32" s="91" t="s">
        <v>686</v>
      </c>
      <c r="D32" s="91">
        <v>8</v>
      </c>
      <c r="E32" s="91" t="s">
        <v>668</v>
      </c>
      <c r="F32" s="91">
        <v>2</v>
      </c>
      <c r="G32" s="91" t="s">
        <v>705</v>
      </c>
      <c r="H32" s="91">
        <v>4</v>
      </c>
      <c r="I32" s="91" t="s">
        <v>712</v>
      </c>
      <c r="J32" s="91">
        <v>3</v>
      </c>
      <c r="K32" s="91"/>
      <c r="L32" s="91"/>
      <c r="M32" s="91" t="s">
        <v>721</v>
      </c>
      <c r="N32" s="91">
        <v>2</v>
      </c>
    </row>
    <row r="33" spans="1:14" ht="15">
      <c r="A33" s="91" t="s">
        <v>684</v>
      </c>
      <c r="B33" s="91">
        <v>503</v>
      </c>
      <c r="C33" s="91" t="s">
        <v>685</v>
      </c>
      <c r="D33" s="91">
        <v>8</v>
      </c>
      <c r="E33" s="91" t="s">
        <v>688</v>
      </c>
      <c r="F33" s="91">
        <v>2</v>
      </c>
      <c r="G33" s="91" t="s">
        <v>706</v>
      </c>
      <c r="H33" s="91">
        <v>4</v>
      </c>
      <c r="I33" s="91" t="s">
        <v>230</v>
      </c>
      <c r="J33" s="91">
        <v>2</v>
      </c>
      <c r="K33" s="91"/>
      <c r="L33" s="91"/>
      <c r="M33" s="91" t="s">
        <v>712</v>
      </c>
      <c r="N33" s="91">
        <v>2</v>
      </c>
    </row>
    <row r="34" spans="1:14" ht="15">
      <c r="A34" s="91" t="s">
        <v>685</v>
      </c>
      <c r="B34" s="91">
        <v>13</v>
      </c>
      <c r="C34" s="91" t="s">
        <v>692</v>
      </c>
      <c r="D34" s="91">
        <v>8</v>
      </c>
      <c r="E34" s="91" t="s">
        <v>697</v>
      </c>
      <c r="F34" s="91">
        <v>2</v>
      </c>
      <c r="G34" s="91" t="s">
        <v>707</v>
      </c>
      <c r="H34" s="91">
        <v>4</v>
      </c>
      <c r="I34" s="91" t="s">
        <v>713</v>
      </c>
      <c r="J34" s="91">
        <v>2</v>
      </c>
      <c r="K34" s="91"/>
      <c r="L34" s="91"/>
      <c r="M34" s="91" t="s">
        <v>686</v>
      </c>
      <c r="N34" s="91">
        <v>2</v>
      </c>
    </row>
    <row r="35" spans="1:14" ht="15">
      <c r="A35" s="91" t="s">
        <v>686</v>
      </c>
      <c r="B35" s="91">
        <v>10</v>
      </c>
      <c r="C35" s="91" t="s">
        <v>234</v>
      </c>
      <c r="D35" s="91">
        <v>8</v>
      </c>
      <c r="E35" s="91" t="s">
        <v>698</v>
      </c>
      <c r="F35" s="91">
        <v>2</v>
      </c>
      <c r="G35" s="91" t="s">
        <v>708</v>
      </c>
      <c r="H35" s="91">
        <v>4</v>
      </c>
      <c r="I35" s="91" t="s">
        <v>714</v>
      </c>
      <c r="J35" s="91">
        <v>2</v>
      </c>
      <c r="K35" s="91"/>
      <c r="L35" s="91"/>
      <c r="M35" s="91"/>
      <c r="N35" s="91"/>
    </row>
    <row r="36" spans="1:14" ht="15">
      <c r="A36" s="91" t="s">
        <v>668</v>
      </c>
      <c r="B36" s="91">
        <v>9</v>
      </c>
      <c r="C36" s="91" t="s">
        <v>693</v>
      </c>
      <c r="D36" s="91">
        <v>8</v>
      </c>
      <c r="E36" s="91" t="s">
        <v>699</v>
      </c>
      <c r="F36" s="91">
        <v>2</v>
      </c>
      <c r="G36" s="91" t="s">
        <v>709</v>
      </c>
      <c r="H36" s="91">
        <v>4</v>
      </c>
      <c r="I36" s="91" t="s">
        <v>715</v>
      </c>
      <c r="J36" s="91">
        <v>2</v>
      </c>
      <c r="K36" s="91"/>
      <c r="L36" s="91"/>
      <c r="M36" s="91"/>
      <c r="N36" s="91"/>
    </row>
    <row r="37" spans="1:14" ht="15">
      <c r="A37" s="91" t="s">
        <v>687</v>
      </c>
      <c r="B37" s="91">
        <v>9</v>
      </c>
      <c r="C37" s="91" t="s">
        <v>694</v>
      </c>
      <c r="D37" s="91">
        <v>8</v>
      </c>
      <c r="E37" s="91" t="s">
        <v>700</v>
      </c>
      <c r="F37" s="91">
        <v>2</v>
      </c>
      <c r="G37" s="91" t="s">
        <v>710</v>
      </c>
      <c r="H37" s="91">
        <v>4</v>
      </c>
      <c r="I37" s="91" t="s">
        <v>716</v>
      </c>
      <c r="J37" s="91">
        <v>2</v>
      </c>
      <c r="K37" s="91"/>
      <c r="L37" s="91"/>
      <c r="M37" s="91"/>
      <c r="N37" s="91"/>
    </row>
    <row r="38" spans="1:14" ht="15">
      <c r="A38" s="91" t="s">
        <v>688</v>
      </c>
      <c r="B38" s="91">
        <v>8</v>
      </c>
      <c r="C38" s="91" t="s">
        <v>695</v>
      </c>
      <c r="D38" s="91">
        <v>8</v>
      </c>
      <c r="E38" s="91" t="s">
        <v>701</v>
      </c>
      <c r="F38" s="91">
        <v>2</v>
      </c>
      <c r="G38" s="91" t="s">
        <v>215</v>
      </c>
      <c r="H38" s="91">
        <v>3</v>
      </c>
      <c r="I38" s="91" t="s">
        <v>238</v>
      </c>
      <c r="J38" s="91">
        <v>2</v>
      </c>
      <c r="K38" s="91"/>
      <c r="L38" s="91"/>
      <c r="M38" s="91"/>
      <c r="N38" s="91"/>
    </row>
    <row r="41" spans="1:14" ht="15" customHeight="1">
      <c r="A41" s="13" t="s">
        <v>728</v>
      </c>
      <c r="B41" s="13" t="s">
        <v>640</v>
      </c>
      <c r="C41" s="13" t="s">
        <v>739</v>
      </c>
      <c r="D41" s="13" t="s">
        <v>643</v>
      </c>
      <c r="E41" s="13" t="s">
        <v>740</v>
      </c>
      <c r="F41" s="13" t="s">
        <v>645</v>
      </c>
      <c r="G41" s="13" t="s">
        <v>751</v>
      </c>
      <c r="H41" s="13" t="s">
        <v>647</v>
      </c>
      <c r="I41" s="13" t="s">
        <v>762</v>
      </c>
      <c r="J41" s="13" t="s">
        <v>649</v>
      </c>
      <c r="K41" s="85" t="s">
        <v>773</v>
      </c>
      <c r="L41" s="85" t="s">
        <v>651</v>
      </c>
      <c r="M41" s="13" t="s">
        <v>774</v>
      </c>
      <c r="N41" s="13" t="s">
        <v>652</v>
      </c>
    </row>
    <row r="42" spans="1:14" ht="15">
      <c r="A42" s="91" t="s">
        <v>729</v>
      </c>
      <c r="B42" s="91">
        <v>9</v>
      </c>
      <c r="C42" s="91" t="s">
        <v>730</v>
      </c>
      <c r="D42" s="91">
        <v>8</v>
      </c>
      <c r="E42" s="91" t="s">
        <v>741</v>
      </c>
      <c r="F42" s="91">
        <v>2</v>
      </c>
      <c r="G42" s="91" t="s">
        <v>752</v>
      </c>
      <c r="H42" s="91">
        <v>4</v>
      </c>
      <c r="I42" s="91" t="s">
        <v>763</v>
      </c>
      <c r="J42" s="91">
        <v>2</v>
      </c>
      <c r="K42" s="91"/>
      <c r="L42" s="91"/>
      <c r="M42" s="91" t="s">
        <v>775</v>
      </c>
      <c r="N42" s="91">
        <v>2</v>
      </c>
    </row>
    <row r="43" spans="1:14" ht="15">
      <c r="A43" s="91" t="s">
        <v>730</v>
      </c>
      <c r="B43" s="91">
        <v>8</v>
      </c>
      <c r="C43" s="91" t="s">
        <v>731</v>
      </c>
      <c r="D43" s="91">
        <v>8</v>
      </c>
      <c r="E43" s="91" t="s">
        <v>742</v>
      </c>
      <c r="F43" s="91">
        <v>2</v>
      </c>
      <c r="G43" s="91" t="s">
        <v>753</v>
      </c>
      <c r="H43" s="91">
        <v>4</v>
      </c>
      <c r="I43" s="91" t="s">
        <v>764</v>
      </c>
      <c r="J43" s="91">
        <v>2</v>
      </c>
      <c r="K43" s="91"/>
      <c r="L43" s="91"/>
      <c r="M43" s="91"/>
      <c r="N43" s="91"/>
    </row>
    <row r="44" spans="1:14" ht="15">
      <c r="A44" s="91" t="s">
        <v>731</v>
      </c>
      <c r="B44" s="91">
        <v>8</v>
      </c>
      <c r="C44" s="91" t="s">
        <v>732</v>
      </c>
      <c r="D44" s="91">
        <v>8</v>
      </c>
      <c r="E44" s="91" t="s">
        <v>743</v>
      </c>
      <c r="F44" s="91">
        <v>2</v>
      </c>
      <c r="G44" s="91" t="s">
        <v>754</v>
      </c>
      <c r="H44" s="91">
        <v>4</v>
      </c>
      <c r="I44" s="91" t="s">
        <v>765</v>
      </c>
      <c r="J44" s="91">
        <v>2</v>
      </c>
      <c r="K44" s="91"/>
      <c r="L44" s="91"/>
      <c r="M44" s="91"/>
      <c r="N44" s="91"/>
    </row>
    <row r="45" spans="1:14" ht="15">
      <c r="A45" s="91" t="s">
        <v>732</v>
      </c>
      <c r="B45" s="91">
        <v>8</v>
      </c>
      <c r="C45" s="91" t="s">
        <v>729</v>
      </c>
      <c r="D45" s="91">
        <v>8</v>
      </c>
      <c r="E45" s="91" t="s">
        <v>744</v>
      </c>
      <c r="F45" s="91">
        <v>2</v>
      </c>
      <c r="G45" s="91" t="s">
        <v>755</v>
      </c>
      <c r="H45" s="91">
        <v>4</v>
      </c>
      <c r="I45" s="91" t="s">
        <v>766</v>
      </c>
      <c r="J45" s="91">
        <v>2</v>
      </c>
      <c r="K45" s="91"/>
      <c r="L45" s="91"/>
      <c r="M45" s="91"/>
      <c r="N45" s="91"/>
    </row>
    <row r="46" spans="1:14" ht="15">
      <c r="A46" s="91" t="s">
        <v>733</v>
      </c>
      <c r="B46" s="91">
        <v>8</v>
      </c>
      <c r="C46" s="91" t="s">
        <v>733</v>
      </c>
      <c r="D46" s="91">
        <v>8</v>
      </c>
      <c r="E46" s="91" t="s">
        <v>745</v>
      </c>
      <c r="F46" s="91">
        <v>2</v>
      </c>
      <c r="G46" s="91" t="s">
        <v>756</v>
      </c>
      <c r="H46" s="91">
        <v>4</v>
      </c>
      <c r="I46" s="91" t="s">
        <v>767</v>
      </c>
      <c r="J46" s="91">
        <v>2</v>
      </c>
      <c r="K46" s="91"/>
      <c r="L46" s="91"/>
      <c r="M46" s="91"/>
      <c r="N46" s="91"/>
    </row>
    <row r="47" spans="1:14" ht="15">
      <c r="A47" s="91" t="s">
        <v>734</v>
      </c>
      <c r="B47" s="91">
        <v>8</v>
      </c>
      <c r="C47" s="91" t="s">
        <v>734</v>
      </c>
      <c r="D47" s="91">
        <v>8</v>
      </c>
      <c r="E47" s="91" t="s">
        <v>746</v>
      </c>
      <c r="F47" s="91">
        <v>2</v>
      </c>
      <c r="G47" s="91" t="s">
        <v>757</v>
      </c>
      <c r="H47" s="91">
        <v>4</v>
      </c>
      <c r="I47" s="91" t="s">
        <v>768</v>
      </c>
      <c r="J47" s="91">
        <v>2</v>
      </c>
      <c r="K47" s="91"/>
      <c r="L47" s="91"/>
      <c r="M47" s="91"/>
      <c r="N47" s="91"/>
    </row>
    <row r="48" spans="1:14" ht="15">
      <c r="A48" s="91" t="s">
        <v>735</v>
      </c>
      <c r="B48" s="91">
        <v>8</v>
      </c>
      <c r="C48" s="91" t="s">
        <v>735</v>
      </c>
      <c r="D48" s="91">
        <v>8</v>
      </c>
      <c r="E48" s="91" t="s">
        <v>747</v>
      </c>
      <c r="F48" s="91">
        <v>2</v>
      </c>
      <c r="G48" s="91" t="s">
        <v>758</v>
      </c>
      <c r="H48" s="91">
        <v>4</v>
      </c>
      <c r="I48" s="91" t="s">
        <v>769</v>
      </c>
      <c r="J48" s="91">
        <v>2</v>
      </c>
      <c r="K48" s="91"/>
      <c r="L48" s="91"/>
      <c r="M48" s="91"/>
      <c r="N48" s="91"/>
    </row>
    <row r="49" spans="1:14" ht="15">
      <c r="A49" s="91" t="s">
        <v>736</v>
      </c>
      <c r="B49" s="91">
        <v>8</v>
      </c>
      <c r="C49" s="91" t="s">
        <v>736</v>
      </c>
      <c r="D49" s="91">
        <v>8</v>
      </c>
      <c r="E49" s="91" t="s">
        <v>748</v>
      </c>
      <c r="F49" s="91">
        <v>2</v>
      </c>
      <c r="G49" s="91" t="s">
        <v>759</v>
      </c>
      <c r="H49" s="91">
        <v>4</v>
      </c>
      <c r="I49" s="91" t="s">
        <v>770</v>
      </c>
      <c r="J49" s="91">
        <v>2</v>
      </c>
      <c r="K49" s="91"/>
      <c r="L49" s="91"/>
      <c r="M49" s="91"/>
      <c r="N49" s="91"/>
    </row>
    <row r="50" spans="1:14" ht="15">
      <c r="A50" s="91" t="s">
        <v>737</v>
      </c>
      <c r="B50" s="91">
        <v>8</v>
      </c>
      <c r="C50" s="91" t="s">
        <v>737</v>
      </c>
      <c r="D50" s="91">
        <v>8</v>
      </c>
      <c r="E50" s="91" t="s">
        <v>749</v>
      </c>
      <c r="F50" s="91">
        <v>2</v>
      </c>
      <c r="G50" s="91" t="s">
        <v>760</v>
      </c>
      <c r="H50" s="91">
        <v>3</v>
      </c>
      <c r="I50" s="91" t="s">
        <v>771</v>
      </c>
      <c r="J50" s="91">
        <v>2</v>
      </c>
      <c r="K50" s="91"/>
      <c r="L50" s="91"/>
      <c r="M50" s="91"/>
      <c r="N50" s="91"/>
    </row>
    <row r="51" spans="1:14" ht="15">
      <c r="A51" s="91" t="s">
        <v>738</v>
      </c>
      <c r="B51" s="91">
        <v>8</v>
      </c>
      <c r="C51" s="91" t="s">
        <v>738</v>
      </c>
      <c r="D51" s="91">
        <v>8</v>
      </c>
      <c r="E51" s="91" t="s">
        <v>750</v>
      </c>
      <c r="F51" s="91">
        <v>2</v>
      </c>
      <c r="G51" s="91" t="s">
        <v>761</v>
      </c>
      <c r="H51" s="91">
        <v>3</v>
      </c>
      <c r="I51" s="91" t="s">
        <v>772</v>
      </c>
      <c r="J51" s="91">
        <v>2</v>
      </c>
      <c r="K51" s="91"/>
      <c r="L51" s="91"/>
      <c r="M51" s="91"/>
      <c r="N51" s="91"/>
    </row>
    <row r="54" spans="1:14" ht="15" customHeight="1">
      <c r="A54" s="13" t="s">
        <v>781</v>
      </c>
      <c r="B54" s="13" t="s">
        <v>640</v>
      </c>
      <c r="C54" s="85" t="s">
        <v>783</v>
      </c>
      <c r="D54" s="85" t="s">
        <v>643</v>
      </c>
      <c r="E54" s="13" t="s">
        <v>784</v>
      </c>
      <c r="F54" s="13" t="s">
        <v>645</v>
      </c>
      <c r="G54" s="85" t="s">
        <v>787</v>
      </c>
      <c r="H54" s="85" t="s">
        <v>647</v>
      </c>
      <c r="I54" s="85" t="s">
        <v>789</v>
      </c>
      <c r="J54" s="85" t="s">
        <v>649</v>
      </c>
      <c r="K54" s="85" t="s">
        <v>791</v>
      </c>
      <c r="L54" s="85" t="s">
        <v>651</v>
      </c>
      <c r="M54" s="85" t="s">
        <v>793</v>
      </c>
      <c r="N54" s="85" t="s">
        <v>652</v>
      </c>
    </row>
    <row r="55" spans="1:14" ht="15">
      <c r="A55" s="85" t="s">
        <v>225</v>
      </c>
      <c r="B55" s="85">
        <v>1</v>
      </c>
      <c r="C55" s="85"/>
      <c r="D55" s="85"/>
      <c r="E55" s="85" t="s">
        <v>225</v>
      </c>
      <c r="F55" s="85">
        <v>1</v>
      </c>
      <c r="G55" s="85"/>
      <c r="H55" s="85"/>
      <c r="I55" s="85"/>
      <c r="J55" s="85"/>
      <c r="K55" s="85"/>
      <c r="L55" s="85"/>
      <c r="M55" s="85"/>
      <c r="N55" s="85"/>
    </row>
    <row r="56" spans="1:14" ht="15">
      <c r="A56" s="85" t="s">
        <v>226</v>
      </c>
      <c r="B56" s="85">
        <v>1</v>
      </c>
      <c r="C56" s="85"/>
      <c r="D56" s="85"/>
      <c r="E56" s="85" t="s">
        <v>226</v>
      </c>
      <c r="F56" s="85">
        <v>1</v>
      </c>
      <c r="G56" s="85"/>
      <c r="H56" s="85"/>
      <c r="I56" s="85"/>
      <c r="J56" s="85"/>
      <c r="K56" s="85"/>
      <c r="L56" s="85"/>
      <c r="M56" s="85"/>
      <c r="N56" s="85"/>
    </row>
    <row r="59" spans="1:14" ht="15" customHeight="1">
      <c r="A59" s="13" t="s">
        <v>782</v>
      </c>
      <c r="B59" s="13" t="s">
        <v>640</v>
      </c>
      <c r="C59" s="13" t="s">
        <v>785</v>
      </c>
      <c r="D59" s="13" t="s">
        <v>643</v>
      </c>
      <c r="E59" s="13" t="s">
        <v>786</v>
      </c>
      <c r="F59" s="13" t="s">
        <v>645</v>
      </c>
      <c r="G59" s="13" t="s">
        <v>788</v>
      </c>
      <c r="H59" s="13" t="s">
        <v>647</v>
      </c>
      <c r="I59" s="13" t="s">
        <v>790</v>
      </c>
      <c r="J59" s="13" t="s">
        <v>649</v>
      </c>
      <c r="K59" s="13" t="s">
        <v>792</v>
      </c>
      <c r="L59" s="13" t="s">
        <v>651</v>
      </c>
      <c r="M59" s="85" t="s">
        <v>794</v>
      </c>
      <c r="N59" s="85" t="s">
        <v>652</v>
      </c>
    </row>
    <row r="60" spans="1:14" ht="15">
      <c r="A60" s="85" t="s">
        <v>234</v>
      </c>
      <c r="B60" s="85">
        <v>8</v>
      </c>
      <c r="C60" s="85" t="s">
        <v>234</v>
      </c>
      <c r="D60" s="85">
        <v>8</v>
      </c>
      <c r="E60" s="85" t="s">
        <v>235</v>
      </c>
      <c r="F60" s="85">
        <v>2</v>
      </c>
      <c r="G60" s="85" t="s">
        <v>233</v>
      </c>
      <c r="H60" s="85">
        <v>4</v>
      </c>
      <c r="I60" s="85" t="s">
        <v>238</v>
      </c>
      <c r="J60" s="85">
        <v>2</v>
      </c>
      <c r="K60" s="85" t="s">
        <v>237</v>
      </c>
      <c r="L60" s="85">
        <v>1</v>
      </c>
      <c r="M60" s="85"/>
      <c r="N60" s="85"/>
    </row>
    <row r="61" spans="1:14" ht="15">
      <c r="A61" s="85" t="s">
        <v>223</v>
      </c>
      <c r="B61" s="85">
        <v>7</v>
      </c>
      <c r="C61" s="85" t="s">
        <v>223</v>
      </c>
      <c r="D61" s="85">
        <v>7</v>
      </c>
      <c r="E61" s="85" t="s">
        <v>232</v>
      </c>
      <c r="F61" s="85">
        <v>2</v>
      </c>
      <c r="G61" s="85" t="s">
        <v>215</v>
      </c>
      <c r="H61" s="85">
        <v>3</v>
      </c>
      <c r="I61" s="85" t="s">
        <v>230</v>
      </c>
      <c r="J61" s="85">
        <v>1</v>
      </c>
      <c r="K61" s="85" t="s">
        <v>236</v>
      </c>
      <c r="L61" s="85">
        <v>1</v>
      </c>
      <c r="M61" s="85"/>
      <c r="N61" s="85"/>
    </row>
    <row r="62" spans="1:14" ht="15">
      <c r="A62" s="85" t="s">
        <v>233</v>
      </c>
      <c r="B62" s="85">
        <v>4</v>
      </c>
      <c r="C62" s="85"/>
      <c r="D62" s="85"/>
      <c r="E62" s="85" t="s">
        <v>225</v>
      </c>
      <c r="F62" s="85">
        <v>1</v>
      </c>
      <c r="G62" s="85"/>
      <c r="H62" s="85"/>
      <c r="I62" s="85"/>
      <c r="J62" s="85"/>
      <c r="K62" s="85"/>
      <c r="L62" s="85"/>
      <c r="M62" s="85"/>
      <c r="N62" s="85"/>
    </row>
    <row r="63" spans="1:14" ht="15">
      <c r="A63" s="85" t="s">
        <v>215</v>
      </c>
      <c r="B63" s="85">
        <v>3</v>
      </c>
      <c r="C63" s="85"/>
      <c r="D63" s="85"/>
      <c r="E63" s="85"/>
      <c r="F63" s="85"/>
      <c r="G63" s="85"/>
      <c r="H63" s="85"/>
      <c r="I63" s="85"/>
      <c r="J63" s="85"/>
      <c r="K63" s="85"/>
      <c r="L63" s="85"/>
      <c r="M63" s="85"/>
      <c r="N63" s="85"/>
    </row>
    <row r="64" spans="1:14" ht="15">
      <c r="A64" s="85" t="s">
        <v>238</v>
      </c>
      <c r="B64" s="85">
        <v>2</v>
      </c>
      <c r="C64" s="85"/>
      <c r="D64" s="85"/>
      <c r="E64" s="85"/>
      <c r="F64" s="85"/>
      <c r="G64" s="85"/>
      <c r="H64" s="85"/>
      <c r="I64" s="85"/>
      <c r="J64" s="85"/>
      <c r="K64" s="85"/>
      <c r="L64" s="85"/>
      <c r="M64" s="85"/>
      <c r="N64" s="85"/>
    </row>
    <row r="65" spans="1:14" ht="15">
      <c r="A65" s="85" t="s">
        <v>235</v>
      </c>
      <c r="B65" s="85">
        <v>2</v>
      </c>
      <c r="C65" s="85"/>
      <c r="D65" s="85"/>
      <c r="E65" s="85"/>
      <c r="F65" s="85"/>
      <c r="G65" s="85"/>
      <c r="H65" s="85"/>
      <c r="I65" s="85"/>
      <c r="J65" s="85"/>
      <c r="K65" s="85"/>
      <c r="L65" s="85"/>
      <c r="M65" s="85"/>
      <c r="N65" s="85"/>
    </row>
    <row r="66" spans="1:14" ht="15">
      <c r="A66" s="85" t="s">
        <v>232</v>
      </c>
      <c r="B66" s="85">
        <v>2</v>
      </c>
      <c r="C66" s="85"/>
      <c r="D66" s="85"/>
      <c r="E66" s="85"/>
      <c r="F66" s="85"/>
      <c r="G66" s="85"/>
      <c r="H66" s="85"/>
      <c r="I66" s="85"/>
      <c r="J66" s="85"/>
      <c r="K66" s="85"/>
      <c r="L66" s="85"/>
      <c r="M66" s="85"/>
      <c r="N66" s="85"/>
    </row>
    <row r="67" spans="1:14" ht="15">
      <c r="A67" s="85" t="s">
        <v>230</v>
      </c>
      <c r="B67" s="85">
        <v>1</v>
      </c>
      <c r="C67" s="85"/>
      <c r="D67" s="85"/>
      <c r="E67" s="85"/>
      <c r="F67" s="85"/>
      <c r="G67" s="85"/>
      <c r="H67" s="85"/>
      <c r="I67" s="85"/>
      <c r="J67" s="85"/>
      <c r="K67" s="85"/>
      <c r="L67" s="85"/>
      <c r="M67" s="85"/>
      <c r="N67" s="85"/>
    </row>
    <row r="68" spans="1:14" ht="15">
      <c r="A68" s="85" t="s">
        <v>237</v>
      </c>
      <c r="B68" s="85">
        <v>1</v>
      </c>
      <c r="C68" s="85"/>
      <c r="D68" s="85"/>
      <c r="E68" s="85"/>
      <c r="F68" s="85"/>
      <c r="G68" s="85"/>
      <c r="H68" s="85"/>
      <c r="I68" s="85"/>
      <c r="J68" s="85"/>
      <c r="K68" s="85"/>
      <c r="L68" s="85"/>
      <c r="M68" s="85"/>
      <c r="N68" s="85"/>
    </row>
    <row r="69" spans="1:14" ht="15">
      <c r="A69" s="85" t="s">
        <v>236</v>
      </c>
      <c r="B69" s="85">
        <v>1</v>
      </c>
      <c r="C69" s="85"/>
      <c r="D69" s="85"/>
      <c r="E69" s="85"/>
      <c r="F69" s="85"/>
      <c r="G69" s="85"/>
      <c r="H69" s="85"/>
      <c r="I69" s="85"/>
      <c r="J69" s="85"/>
      <c r="K69" s="85"/>
      <c r="L69" s="85"/>
      <c r="M69" s="85"/>
      <c r="N69" s="85"/>
    </row>
    <row r="72" spans="1:14" ht="15" customHeight="1">
      <c r="A72" s="13" t="s">
        <v>803</v>
      </c>
      <c r="B72" s="13" t="s">
        <v>640</v>
      </c>
      <c r="C72" s="13" t="s">
        <v>804</v>
      </c>
      <c r="D72" s="13" t="s">
        <v>643</v>
      </c>
      <c r="E72" s="13" t="s">
        <v>805</v>
      </c>
      <c r="F72" s="13" t="s">
        <v>645</v>
      </c>
      <c r="G72" s="13" t="s">
        <v>806</v>
      </c>
      <c r="H72" s="13" t="s">
        <v>647</v>
      </c>
      <c r="I72" s="13" t="s">
        <v>807</v>
      </c>
      <c r="J72" s="13" t="s">
        <v>649</v>
      </c>
      <c r="K72" s="13" t="s">
        <v>808</v>
      </c>
      <c r="L72" s="13" t="s">
        <v>651</v>
      </c>
      <c r="M72" s="13" t="s">
        <v>809</v>
      </c>
      <c r="N72" s="13" t="s">
        <v>652</v>
      </c>
    </row>
    <row r="73" spans="1:14" ht="15">
      <c r="A73" s="125" t="s">
        <v>236</v>
      </c>
      <c r="B73" s="85">
        <v>364043</v>
      </c>
      <c r="C73" s="125" t="s">
        <v>218</v>
      </c>
      <c r="D73" s="85">
        <v>281844</v>
      </c>
      <c r="E73" s="125" t="s">
        <v>225</v>
      </c>
      <c r="F73" s="85">
        <v>20672</v>
      </c>
      <c r="G73" s="125" t="s">
        <v>216</v>
      </c>
      <c r="H73" s="85">
        <v>11907</v>
      </c>
      <c r="I73" s="125" t="s">
        <v>231</v>
      </c>
      <c r="J73" s="85">
        <v>6565</v>
      </c>
      <c r="K73" s="125" t="s">
        <v>236</v>
      </c>
      <c r="L73" s="85">
        <v>364043</v>
      </c>
      <c r="M73" s="125" t="s">
        <v>229</v>
      </c>
      <c r="N73" s="85">
        <v>6634</v>
      </c>
    </row>
    <row r="74" spans="1:14" ht="15">
      <c r="A74" s="125" t="s">
        <v>218</v>
      </c>
      <c r="B74" s="85">
        <v>281844</v>
      </c>
      <c r="C74" s="125" t="s">
        <v>224</v>
      </c>
      <c r="D74" s="85">
        <v>22690</v>
      </c>
      <c r="E74" s="125" t="s">
        <v>226</v>
      </c>
      <c r="F74" s="85">
        <v>10850</v>
      </c>
      <c r="G74" s="125" t="s">
        <v>213</v>
      </c>
      <c r="H74" s="85">
        <v>3657</v>
      </c>
      <c r="I74" s="125" t="s">
        <v>238</v>
      </c>
      <c r="J74" s="85">
        <v>152</v>
      </c>
      <c r="K74" s="125" t="s">
        <v>227</v>
      </c>
      <c r="L74" s="85">
        <v>16795</v>
      </c>
      <c r="M74" s="125" t="s">
        <v>228</v>
      </c>
      <c r="N74" s="85">
        <v>2053</v>
      </c>
    </row>
    <row r="75" spans="1:14" ht="15">
      <c r="A75" s="125" t="s">
        <v>224</v>
      </c>
      <c r="B75" s="85">
        <v>22690</v>
      </c>
      <c r="C75" s="125" t="s">
        <v>217</v>
      </c>
      <c r="D75" s="85">
        <v>14157</v>
      </c>
      <c r="E75" s="125" t="s">
        <v>235</v>
      </c>
      <c r="F75" s="85">
        <v>9197</v>
      </c>
      <c r="G75" s="125" t="s">
        <v>214</v>
      </c>
      <c r="H75" s="85">
        <v>186</v>
      </c>
      <c r="I75" s="125" t="s">
        <v>230</v>
      </c>
      <c r="J75" s="85">
        <v>54</v>
      </c>
      <c r="K75" s="125" t="s">
        <v>237</v>
      </c>
      <c r="L75" s="85">
        <v>11540</v>
      </c>
      <c r="M75" s="125"/>
      <c r="N75" s="85"/>
    </row>
    <row r="76" spans="1:14" ht="15">
      <c r="A76" s="125" t="s">
        <v>225</v>
      </c>
      <c r="B76" s="85">
        <v>20672</v>
      </c>
      <c r="C76" s="125" t="s">
        <v>220</v>
      </c>
      <c r="D76" s="85">
        <v>11422</v>
      </c>
      <c r="E76" s="125" t="s">
        <v>212</v>
      </c>
      <c r="F76" s="85">
        <v>3091</v>
      </c>
      <c r="G76" s="125" t="s">
        <v>215</v>
      </c>
      <c r="H76" s="85">
        <v>145</v>
      </c>
      <c r="I76" s="125"/>
      <c r="J76" s="85"/>
      <c r="K76" s="125"/>
      <c r="L76" s="85"/>
      <c r="M76" s="125"/>
      <c r="N76" s="85"/>
    </row>
    <row r="77" spans="1:14" ht="15">
      <c r="A77" s="125" t="s">
        <v>227</v>
      </c>
      <c r="B77" s="85">
        <v>16795</v>
      </c>
      <c r="C77" s="125" t="s">
        <v>223</v>
      </c>
      <c r="D77" s="85">
        <v>8880</v>
      </c>
      <c r="E77" s="125" t="s">
        <v>232</v>
      </c>
      <c r="F77" s="85">
        <v>277</v>
      </c>
      <c r="G77" s="125" t="s">
        <v>233</v>
      </c>
      <c r="H77" s="85">
        <v>19</v>
      </c>
      <c r="I77" s="125"/>
      <c r="J77" s="85"/>
      <c r="K77" s="125"/>
      <c r="L77" s="85"/>
      <c r="M77" s="125"/>
      <c r="N77" s="85"/>
    </row>
    <row r="78" spans="1:14" ht="15">
      <c r="A78" s="125" t="s">
        <v>217</v>
      </c>
      <c r="B78" s="85">
        <v>14157</v>
      </c>
      <c r="C78" s="125" t="s">
        <v>221</v>
      </c>
      <c r="D78" s="85">
        <v>6529</v>
      </c>
      <c r="E78" s="125"/>
      <c r="F78" s="85"/>
      <c r="G78" s="125"/>
      <c r="H78" s="85"/>
      <c r="I78" s="125"/>
      <c r="J78" s="85"/>
      <c r="K78" s="125"/>
      <c r="L78" s="85"/>
      <c r="M78" s="125"/>
      <c r="N78" s="85"/>
    </row>
    <row r="79" spans="1:14" ht="15">
      <c r="A79" s="125" t="s">
        <v>216</v>
      </c>
      <c r="B79" s="85">
        <v>11907</v>
      </c>
      <c r="C79" s="125" t="s">
        <v>222</v>
      </c>
      <c r="D79" s="85">
        <v>995</v>
      </c>
      <c r="E79" s="125"/>
      <c r="F79" s="85"/>
      <c r="G79" s="125"/>
      <c r="H79" s="85"/>
      <c r="I79" s="125"/>
      <c r="J79" s="85"/>
      <c r="K79" s="125"/>
      <c r="L79" s="85"/>
      <c r="M79" s="125"/>
      <c r="N79" s="85"/>
    </row>
    <row r="80" spans="1:14" ht="15">
      <c r="A80" s="125" t="s">
        <v>237</v>
      </c>
      <c r="B80" s="85">
        <v>11540</v>
      </c>
      <c r="C80" s="125" t="s">
        <v>234</v>
      </c>
      <c r="D80" s="85">
        <v>924</v>
      </c>
      <c r="E80" s="125"/>
      <c r="F80" s="85"/>
      <c r="G80" s="125"/>
      <c r="H80" s="85"/>
      <c r="I80" s="125"/>
      <c r="J80" s="85"/>
      <c r="K80" s="125"/>
      <c r="L80" s="85"/>
      <c r="M80" s="125"/>
      <c r="N80" s="85"/>
    </row>
    <row r="81" spans="1:14" ht="15">
      <c r="A81" s="125" t="s">
        <v>220</v>
      </c>
      <c r="B81" s="85">
        <v>11422</v>
      </c>
      <c r="C81" s="125" t="s">
        <v>219</v>
      </c>
      <c r="D81" s="85">
        <v>900</v>
      </c>
      <c r="E81" s="125"/>
      <c r="F81" s="85"/>
      <c r="G81" s="125"/>
      <c r="H81" s="85"/>
      <c r="I81" s="125"/>
      <c r="J81" s="85"/>
      <c r="K81" s="125"/>
      <c r="L81" s="85"/>
      <c r="M81" s="125"/>
      <c r="N81" s="85"/>
    </row>
    <row r="82" spans="1:14" ht="15">
      <c r="A82" s="125" t="s">
        <v>226</v>
      </c>
      <c r="B82" s="85">
        <v>10850</v>
      </c>
      <c r="C82" s="125"/>
      <c r="D82" s="85"/>
      <c r="E82" s="125"/>
      <c r="F82" s="85"/>
      <c r="G82" s="125"/>
      <c r="H82" s="85"/>
      <c r="I82" s="125"/>
      <c r="J82" s="85"/>
      <c r="K82" s="125"/>
      <c r="L82" s="85"/>
      <c r="M82" s="125"/>
      <c r="N82" s="85"/>
    </row>
  </sheetData>
  <hyperlinks>
    <hyperlink ref="A2" r:id="rId1" display="https://www.khoury.northeastern.edu/general/acm-websci-19-at-northeastern-brings-together-experts-from-many-disciplines/"/>
    <hyperlink ref="A3" r:id="rId2" display="https://twitter.com/CChelmis/status/1146043799187206144"/>
    <hyperlink ref="A4" r:id="rId3" display="https://websci19.webscience.org/"/>
    <hyperlink ref="A5" r:id="rId4" display="https://websci19.webscience.org/speakers.html"/>
    <hyperlink ref="A6" r:id="rId5" display="https://www.nytimes.com/2019/06/30/opinion/immigrants-social-media.html"/>
    <hyperlink ref="A7" r:id="rId6" display="https://pervade.umd.edu/event/websci-19/"/>
    <hyperlink ref="E2" r:id="rId7" display="https://pervade.umd.edu/event/websci-19/"/>
    <hyperlink ref="K2" r:id="rId8" display="https://www.nytimes.com/2019/06/30/opinion/immigrants-social-media.html"/>
    <hyperlink ref="M2" r:id="rId9" display="https://www.khoury.northeastern.edu/general/acm-websci-19-at-northeastern-brings-together-experts-from-many-disciplines/"/>
    <hyperlink ref="M3" r:id="rId10" display="https://twitter.com/CChelmis/status/1146043799187206144"/>
    <hyperlink ref="M4" r:id="rId11" display="https://websci19.webscience.org/"/>
    <hyperlink ref="M5" r:id="rId12" display="https://websci19.webscience.org/speakers.html"/>
  </hyperlinks>
  <printOptions/>
  <pageMargins left="0.7" right="0.7" top="0.75" bottom="0.75" header="0.3" footer="0.3"/>
  <pageSetup orientation="portrait" paperSize="9"/>
  <tableParts>
    <tablePart r:id="rId16"/>
    <tablePart r:id="rId14"/>
    <tablePart r:id="rId13"/>
    <tablePart r:id="rId18"/>
    <tablePart r:id="rId15"/>
    <tablePart r:id="rId17"/>
    <tablePart r:id="rId19"/>
    <tablePart r:id="rId20"/>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564A531A-0198-4179-B795-F15BAE6513E2}">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2019-07-02T14:34:52Z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