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<sst xmlns="http://schemas.openxmlformats.org/spreadsheetml/2006/main" count="13185" uniqueCount="2980">
  <si>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</si>
  <si>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</si>
  <si>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</si>
  <si>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</si>
  <si>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</si>
  <si>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</si>
  <si>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</si>
  <si>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</si>
  <si>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</si>
  <si>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</si>
  <si>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</si>
  <si>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</si>
  <si>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</si>
  <si>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</si>
  <si>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</si>
  <si>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</si>
  <si>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</si>
  <si>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</si>
  <si>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</si>
  <si>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</si>
  <si>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</si>
  <si>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</si>
  <si>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</si>
  <si>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</si>
  <si>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</si>
  <si>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</si>
  <si>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</si>
  <si>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</si>
  <si>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</si>
  <si>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</si>
  <si>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</si>
  <si>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</si>
  <si>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</si>
  <si>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</si>
  <si>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</si>
  <si>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</si>
  <si>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</si>
  <si>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</si>
  <si>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</si>
  <si>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</si>
  <si>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</si>
  <si>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</si>
  <si>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</si>
  <si>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</si>
  <si>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</si>
  <si>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</si>
  <si>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</si>
  <si>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</si>
  <si>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</si>
  <si>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</si>
  <si>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</si>
  <si>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</si>
  <si>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</si>
  <si>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</si>
  <si>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</si>
  <si>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</si>
  <si>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</si>
  <si>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</si>
  <si>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</si>
  <si>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</si>
  <si>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</si>
  <si>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</si>
  <si>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</si>
  <si>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</si>
  <si>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</si>
  <si>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</si>
  <si>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</si>
  <si>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</si>
  <si>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</si>
  <si>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</si>
  <si>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</si>
  <si>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</si>
  <si>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</si>
  <si>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</si>
  <si>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</si>
  <si>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</si>
  <si>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</si>
  <si>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</si>
  <si>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</si>
  <si>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</si>
  <si>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</si>
  <si>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</si>
  <si>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</si>
  <si>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</si>
  <si>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</si>
  <si>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</si>
  <si>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</si>
  <si>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</si>
  <si>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</si>
  <si>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</si>
  <si>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</si>
  <si>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</si>
  <si>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</si>
  <si>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</si>
  <si>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</si>
  <si>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</si>
  <si>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</si>
  <si>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</si>
  <si>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</si>
  <si>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</si>
  <si>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</si>
  <si>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</si>
  <si>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</si>
  <si>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</si>
  <si>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</si>
  <si>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</si>
  <si>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</si>
  <si>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</si>
  <si>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</si>
  <si>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</si>
  <si>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</si>
  <si>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</si>
  <si>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</si>
  <si>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</si>
  <si>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</si>
  <si>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</si>
  <si>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</si>
  <si>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</si>
  <si>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</si>
  <si>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</si>
  <si>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</si>
  <si>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</si>
  <si>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</si>
  <si>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</si>
  <si>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</si>
  <si>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</si>
  <si>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</si>
  <si>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</si>
  <si>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</si>
  <si>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</si>
  <si>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</si>
  <si>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</si>
  <si>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</si>
  <si>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</si>
  <si>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</si>
  <si>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</si>
  <si>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</si>
  <si>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</si>
  <si>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</si>
  <si>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</si>
  <si>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</si>
  <si>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</si>
  <si>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</si>
  <si>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</si>
  <si>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</si>
  <si>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</si>
  <si>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</si>
  <si>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</si>
  <si>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</si>
  <si>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</si>
  <si>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</si>
  <si>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</si>
  <si>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</si>
  <si>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</si>
  <si>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</si>
  <si>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</si>
  <si>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</si>
  <si>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</si>
  <si>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</si>
  <si>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</si>
  <si>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</si>
  <si>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</si>
  <si>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</si>
  <si>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</si>
  <si>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</si>
  <si>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</si>
  <si>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</si>
  <si>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</si>
  <si>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</si>
  <si>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</si>
  <si>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</si>
  <si>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</si>
  <si>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</si>
  <si>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</si>
  <si>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</si>
  <si>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</si>
  <si>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</si>
  <si>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</si>
  <si>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</si>
  <si>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</si>
  <si>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</si>
  <si>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</si>
  <si>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</si>
  <si>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</si>
  <si>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</si>
  <si>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</si>
  <si>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</si>
  <si>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</si>
  <si>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</si>
  <si>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</si>
  <si>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</si>
  <si>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</si>
  <si>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 xml:space="preserv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t>
  </si>
  <si>
    <t>Workbook Settings 21</t>
  </si>
  <si>
    <t xml:space="preserve">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t>
  </si>
  <si>
    <t>Workbook Settings 22</t>
  </si>
  <si>
    <t>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
  </si>
  <si>
    <t>Workbook Settings 23</t>
  </si>
  <si>
    <t>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t>
  </si>
  <si>
    <t>Workbook Settings 24</t>
  </si>
  <si>
    <t>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t>
  </si>
  <si>
    <t>Workbook Settings 25</t>
  </si>
  <si>
    <t>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t>
  </si>
  <si>
    <t>Workbook Settings 26</t>
  </si>
  <si>
    <t>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t>
  </si>
  <si>
    <t>Workbook Settings 27</t>
  </si>
  <si>
    <t>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t>
  </si>
  <si>
    <t>Workbook Settings 28</t>
  </si>
  <si>
    <t>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t>
  </si>
  <si>
    <t>Workbook Settings 29</t>
  </si>
  <si>
    <t>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t>
  </si>
  <si>
    <t>Workbook Settings 30</t>
  </si>
  <si>
    <t xml:space="preserv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t>
  </si>
  <si>
    <t>Workbook Settings 31</t>
  </si>
  <si>
    <t>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t>
  </si>
  <si>
    <t>Workbook Settings 32</t>
  </si>
  <si>
    <t>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t>
  </si>
  <si>
    <t>Workbook Settings 33</t>
  </si>
  <si>
    <t>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t>
  </si>
  <si>
    <t>Workbook Settings 34</t>
  </si>
  <si>
    <t>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t>
  </si>
  <si>
    <t>Workbook Settings 35</t>
  </si>
  <si>
    <t>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t>
  </si>
  <si>
    <t>Workbook Settings 36</t>
  </si>
  <si>
    <t>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t>
  </si>
  <si>
    <t>Workbook Settings 37</t>
  </si>
  <si>
    <t>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t>
  </si>
  <si>
    <t>Workbook Settings 38</t>
  </si>
  <si>
    <t>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t>
  </si>
  <si>
    <t>Workbook Settings 39</t>
  </si>
  <si>
    <t>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t>
  </si>
  <si>
    <t>Workbook Settings 40</t>
  </si>
  <si>
    <t>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t>
  </si>
  <si>
    <t>Workbook Settings 41</t>
  </si>
  <si>
    <t>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t>
  </si>
  <si>
    <t>Workbook Settings 42</t>
  </si>
  <si>
    <t>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t>
  </si>
  <si>
    <t>Workbook Settings 43</t>
  </si>
  <si>
    <t>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t>
  </si>
  <si>
    <t>Workbook Settings 44</t>
  </si>
  <si>
    <t xml:space="preserve">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t>
  </si>
  <si>
    <t>Workbook Settings 45</t>
  </si>
  <si>
    <t>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t>
  </si>
  <si>
    <t>Workbook Settings 46</t>
  </si>
  <si>
    <t>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
  </si>
  <si>
    <t>Workbook Settings 47</t>
  </si>
  <si>
    <t xml:space="preserve">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t>
  </si>
  <si>
    <t>Workbook Settings 48</t>
  </si>
  <si>
    <t>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t>
  </si>
  <si>
    <t>Workbook Settings 49</t>
  </si>
  <si>
    <t>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t>
  </si>
  <si>
    <t>Workbook Settings 50</t>
  </si>
  <si>
    <t>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t>
  </si>
  <si>
    <t>Workbook Settings 51</t>
  </si>
  <si>
    <t>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t>
  </si>
  <si>
    <t>Workbook Settings 52</t>
  </si>
  <si>
    <t>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t>
  </si>
  <si>
    <t>Workbook Settings 53</t>
  </si>
  <si>
    <t xml:space="preserve">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t>
  </si>
  <si>
    <t>Workbook Settings 54</t>
  </si>
  <si>
    <t>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t>
  </si>
  <si>
    <t>Workbook Settings 55</t>
  </si>
  <si>
    <t>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t>
  </si>
  <si>
    <t>Workbook Settings 56</t>
  </si>
  <si>
    <t>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t>
  </si>
  <si>
    <t>Workbook Settings 57</t>
  </si>
  <si>
    <t>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t>
  </si>
  <si>
    <t>Workbook Settings 58</t>
  </si>
  <si>
    <t>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t>
  </si>
  <si>
    <t>Workbook Settings 59</t>
  </si>
  <si>
    <t xml:space="preserve">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
  </si>
  <si>
    <t>Workbook Settings 60</t>
  </si>
  <si>
    <t>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t>
  </si>
  <si>
    <t>Workbook Settings 61</t>
  </si>
  <si>
    <t>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t>
  </si>
  <si>
    <t>Workbook Settings 62</t>
  </si>
  <si>
    <t xml:space="preserv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t>
  </si>
  <si>
    <t>Workbook Settings 63</t>
  </si>
  <si>
    <t>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t>
  </si>
  <si>
    <t>Workbook Settings 64</t>
  </si>
  <si>
    <t>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t>
  </si>
  <si>
    <t>Workbook Settings 65</t>
  </si>
  <si>
    <t>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t>
  </si>
  <si>
    <t>Workbook Settings 66</t>
  </si>
  <si>
    <t>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t>
  </si>
  <si>
    <t>Workbook Settings 67</t>
  </si>
  <si>
    <t>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t>
  </si>
  <si>
    <t>Workbook Settings 68</t>
  </si>
  <si>
    <t>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t>
  </si>
  <si>
    <t>Workbook Settings 69</t>
  </si>
  <si>
    <t>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t>
  </si>
  <si>
    <t>Workbook Settings 70</t>
  </si>
  <si>
    <t>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t>
  </si>
  <si>
    <t>Workbook Settings 71</t>
  </si>
  <si>
    <t>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
  </si>
  <si>
    <t>Workbook Settings 72</t>
  </si>
  <si>
    <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t>
  </si>
  <si>
    <t>Workbook Settings 73</t>
  </si>
  <si>
    <t>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t>
  </si>
  <si>
    <t>Workbook Settings 74</t>
  </si>
  <si>
    <t>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</si>
  <si>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</si>
  <si>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</si>
  <si>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</si>
  <si>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t>
  </si>
  <si>
    <t>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</si>
  <si>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</si>
  <si>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 xml:space="preserve">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t>
  </si>
  <si>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t>
  </si>
  <si>
    <t>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t>
  </si>
  <si>
    <t>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t>
  </si>
  <si>
    <t>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t>
  </si>
  <si>
    <t>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t>
  </si>
  <si>
    <t>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t>
  </si>
  <si>
    <t>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t>
  </si>
  <si>
    <t>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t>
  </si>
  <si>
    <t xml:space="preserve">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t>
  </si>
  <si>
    <t>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t>
  </si>
  <si>
    <t>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
  </si>
  <si>
    <t>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&lt;value&gt;D:\NodeXL\_youtube\User-to-User Networks&lt;/value&gt;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t>
  </si>
  <si>
    <t>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</si>
  <si>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</si>
  <si>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</si>
  <si>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</si>
  <si>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</si>
  <si>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</si>
  <si>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</si>
  <si>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</si>
  <si>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</si>
  <si>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</si>
  <si>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</si>
  <si>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</si>
  <si>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</si>
  <si>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</si>
  <si>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</si>
  <si>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</si>
  <si>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</si>
  <si>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</si>
  <si>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</si>
  <si>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UCEm5HlGvJXSCTKsFxWih04g</t>
  </si>
  <si>
    <t>UC6q8R5SJYsuHhleU2GgJKGA</t>
  </si>
  <si>
    <t>UC2jHQ9iN3gjeCs6mCCyI_1g</t>
  </si>
  <si>
    <t>UC625RO8AWt6tzDrFxA22tPQ</t>
  </si>
  <si>
    <t>UCwmXhkHeZ7EbApGCHtpuAlg</t>
  </si>
  <si>
    <t>UCl9gn5ZSJFQ33S_h1D8lGlg</t>
  </si>
  <si>
    <t>UCXBDxpU7E1QT0J1nS-BGnQg</t>
  </si>
  <si>
    <t>UCSnr1NggLE8M63F61SbWGDw</t>
  </si>
  <si>
    <t>UCXxni4CYgsAp7QsUM71k2gQ</t>
  </si>
  <si>
    <t>UCMjfNOw_F_QdVO_NcQ49hwA</t>
  </si>
  <si>
    <t>UCcqj5COuFHh1eHF0xdBQoig</t>
  </si>
  <si>
    <t>UCXpbkjiFlXTpSy3DnioAJjw</t>
  </si>
  <si>
    <t>UCT2t7sQp0Qyi9dxuckjOWAw</t>
  </si>
  <si>
    <t>UCUGm4MAV0xRkCWAIe34oHEA</t>
  </si>
  <si>
    <t>UCfYrvWfah8SKHvX-fQ_oLWQ</t>
  </si>
  <si>
    <t>UC2b3yDPx5ALGuEJSAs_E7kw</t>
  </si>
  <si>
    <t>UCeiKh2VbzXlQeESwZzg7xxQ</t>
  </si>
  <si>
    <t>UCOySjL4JhGjAvIU2BeWaZMA</t>
  </si>
  <si>
    <t>UCkkgApUQlDrsLaod5io227g</t>
  </si>
  <si>
    <t>UCo4986VKClJt42gAAOHqWtQ</t>
  </si>
  <si>
    <t>UC-jjpnxCagdT_bv8huLBmrA</t>
  </si>
  <si>
    <t>UCYS7wFuePefGbkq9zjRt8sQ</t>
  </si>
  <si>
    <t>UCDCjHgdB_5n2ppVPI3Vt8Ew</t>
  </si>
  <si>
    <t>UCYL-NgWVd0Ebir7pXVsMB2w</t>
  </si>
  <si>
    <t>UCg66xuzMQIOjiGIT5PMHOcw</t>
  </si>
  <si>
    <t>UCo6gG1_nUsjZvN4gMpjdGZA</t>
  </si>
  <si>
    <t>UCJNdQJZz7IuBgHWIIoJBvJg</t>
  </si>
  <si>
    <t>UCDmMHvluQEXqJgF4docP0yA</t>
  </si>
  <si>
    <t>UC5J008IAlx4366lCisVipIg</t>
  </si>
  <si>
    <t>UCPvgd5mNI79yGYL0hJAKReA</t>
  </si>
  <si>
    <t>UCerAw4EfTOnYYxLLPZAzMxQ</t>
  </si>
  <si>
    <t>UC8CPBnQ5vh85_8cwZ6gRFBQ</t>
  </si>
  <si>
    <t>UCqV3NeKeh8lNw8bLTheL24g</t>
  </si>
  <si>
    <t>UCadohWhKjy8YKkiOeKLb_jA</t>
  </si>
  <si>
    <t>UCRplO5uLNC-QOf4ZxjI6OaA</t>
  </si>
  <si>
    <t>UCRwYXX2La_JD4KoA6hZqIYw</t>
  </si>
  <si>
    <t>UCOosNpm4X6UrnhAUxCEKY8A</t>
  </si>
  <si>
    <t>UCLIhyce5kxvdas1PvQVkSkg</t>
  </si>
  <si>
    <t>UCOAzGG0Pm_MiO-SQ2Dc-Wdg</t>
  </si>
  <si>
    <t>UCuh2m_8m5pUxe9NMlGxQ1dQ</t>
  </si>
  <si>
    <t>UC9LLQRE_1OPkWUCda2b_kmg</t>
  </si>
  <si>
    <t>UC2AjGU-bTVnwnKI40ucluew</t>
  </si>
  <si>
    <t>UCh5Vq5sKzfQftZkz3sqj8zQ</t>
  </si>
  <si>
    <t>UCbtGUyX5iHwuOUqh6mKuEvw</t>
  </si>
  <si>
    <t>UCz799FrP_bspgWNMBVRz5JQ</t>
  </si>
  <si>
    <t>UC8VGjN2NAbDcGbnw8kcioqw</t>
  </si>
  <si>
    <t>UC3SVNW8fO0QB0VQgw-Cboeg</t>
  </si>
  <si>
    <t>UCB14GBHsqGQ0iUL121nwOKQ</t>
  </si>
  <si>
    <t>UCXWqZlXgy_0lF0b_br8sk0A</t>
  </si>
  <si>
    <t>UCG6UKWK21O1SGwcuG4SaH0A</t>
  </si>
  <si>
    <t>UCfgG-ovLKqB8k2KnSbx32Lw</t>
  </si>
  <si>
    <t>UCqocO9ovci3JuSvsYKR36HA</t>
  </si>
  <si>
    <t>UCF7K5uOzm-xqTb96lpNt_Ow</t>
  </si>
  <si>
    <t>UCXQR00oQ3fj5cTotWvRg0_Q</t>
  </si>
  <si>
    <t>UCLwDXsPUfsO2ZTptCsSyXGg</t>
  </si>
  <si>
    <t>UCpQ5U05w9q913jvPV-T8rlw</t>
  </si>
  <si>
    <t>UC8qUxVyfs-OHn8fApXBqjaQ</t>
  </si>
  <si>
    <t>UCC6RgeCUyUrLDxO1W6Rat-Q</t>
  </si>
  <si>
    <t>UCI8WWtGB9PmGhesq1QVChQg</t>
  </si>
  <si>
    <t>UCUm577M0SQnlguRkdcfUa1Q</t>
  </si>
  <si>
    <t>UCHBzTw6zFU-YYZ9ohpX9lKQ</t>
  </si>
  <si>
    <t>UCoLCzvtVkU29FpAVVsAK-wg</t>
  </si>
  <si>
    <t>UC52SPb7BsvpH0HWbkSk8Jdg</t>
  </si>
  <si>
    <t>UCbldxxrB86AYD-2LJsgqpOA</t>
  </si>
  <si>
    <t>UC0qJaSE8JW7BoCYedij1fPg</t>
  </si>
  <si>
    <t>UCXFOCi3E8fm4KWk7KA1v-FA</t>
  </si>
  <si>
    <t>UCywWdXzN6JZzrDM3WWtIcdA</t>
  </si>
  <si>
    <t>UCIz82_qILaDCMBLYsqErOOw</t>
  </si>
  <si>
    <t>UC1G7AZFqSOf2CIZBzfBNmVQ</t>
  </si>
  <si>
    <t>UChA9cIhy_R5-REFhn28MQOw</t>
  </si>
  <si>
    <t>UCWmEXXyyg4CeL3TS4ba8iUg</t>
  </si>
  <si>
    <t>UChlTB5NW6iUzi67TzRxRcTg</t>
  </si>
  <si>
    <t>UCEkBJ8bqPbMoZwqFrKmPqSA</t>
  </si>
  <si>
    <t>UCVoF08vw5_TGZoAo2JKf0MA</t>
  </si>
  <si>
    <t>UCVJfW61X3yS0PH-25gIjpNA</t>
  </si>
  <si>
    <t>UC3ZPFGJ9YYuozcr4cSnBJ2A</t>
  </si>
  <si>
    <t>UCgHRnRM04bqxuFsbmaogYoQ</t>
  </si>
  <si>
    <t>UCNqum2PJcIKJNqgdpJT_BAQ</t>
  </si>
  <si>
    <t>UCk1fFx94xROs0rc-0X9B5xQ</t>
  </si>
  <si>
    <t>UCaHhU-OK1Vac5L2ghUiDtfw</t>
  </si>
  <si>
    <t>UC9WOPcj0UJiSLURpeHpTLGg</t>
  </si>
  <si>
    <t>UCJIZkb4wSJWKnDl2y3zC5Fg</t>
  </si>
  <si>
    <t>UCdroRJc0_ZpOqXd_5Gp1UEA</t>
  </si>
  <si>
    <t>UCh3yYzeRVs-FINrguoLPzjA</t>
  </si>
  <si>
    <t>UCixxAbFxgX_ukjZQmAnkSPw</t>
  </si>
  <si>
    <t>UCI9yBt6c5JsNA4ojCmidRiQ</t>
  </si>
  <si>
    <t>UCKuZZ1l9Em5c5WYrPKvLJWg</t>
  </si>
  <si>
    <t>UC5lFWTaAy8fFiZpMxEhN98A</t>
  </si>
  <si>
    <t>UCJL0AOQJZ0BewrdqUoIoqRw</t>
  </si>
  <si>
    <t>UCOTJh6zzR3-NAPJBNKaqOgw</t>
  </si>
  <si>
    <t>UC0UMID05DoGXImC7u-VQ8cA</t>
  </si>
  <si>
    <t>UC4B0PCHbdzSSzlHORDsaYjQ</t>
  </si>
  <si>
    <t>UCwya1YV0VVcNVA1ALPpaZ5g</t>
  </si>
  <si>
    <t>UCuPfgSrWOc2EmNcS-dnRC8A</t>
  </si>
  <si>
    <t>UCdtcABJ52mOHCXSIzO6SpGA</t>
  </si>
  <si>
    <t>UC9cKkmwkK5RE3Yon6NglcwA</t>
  </si>
  <si>
    <t>UC6OBGTpqEY5Pn4-4xWg8QhQ</t>
  </si>
  <si>
    <t>UCCwmutQCZD-xOlzyKKl5fag</t>
  </si>
  <si>
    <t>UChPvILLGvBiP_SiUg9srazw</t>
  </si>
  <si>
    <t>UCkNEkfKxEtYneNKzdgiefWg</t>
  </si>
  <si>
    <t>UC-abaNhleZ9l8u2eiQgIHXA</t>
  </si>
  <si>
    <t>UCmB6rgL4vwKdmtRwoK6hNRA</t>
  </si>
  <si>
    <t>UCaz5lJl4O-DlZ0Ype11GGDQ</t>
  </si>
  <si>
    <t>UCiFbxhlcapLxvMvBOJfgiAQ</t>
  </si>
  <si>
    <t>UC500ecg6iu4_fZI7ppnH5xg</t>
  </si>
  <si>
    <t>UCyKVToG2bdyFm9Zr7487GbQ</t>
  </si>
  <si>
    <t>UCTpiluusEpdQER2ESjtp0dQ</t>
  </si>
  <si>
    <t>UCntzGT7YKCWZXmfs7yCRbnw</t>
  </si>
  <si>
    <t>UCvGUF5crGKWgcjNfy69om-w</t>
  </si>
  <si>
    <t>UCkC3h3DJjv33UNvnAUmP8QA</t>
  </si>
  <si>
    <t>UCs_w8C3KKuchf7tTDjLH6EQ</t>
  </si>
  <si>
    <t>UCOQy7XDYjkjhb0QwVMwf-7A</t>
  </si>
  <si>
    <t>UC33YvdKdCbETlDVRz_I42sw</t>
  </si>
  <si>
    <t>UCMS61u_TGqi-c_UEhywFcQg</t>
  </si>
  <si>
    <t>UCeIJT2rmwfiwi5iuVCrorfQ</t>
  </si>
  <si>
    <t>UCA3wy2ieu53FkBf19GeaSzw</t>
  </si>
  <si>
    <t>UCqdyyZiSL4ZHyXE11pNa-PQ</t>
  </si>
  <si>
    <t>UCZCEX7jMFA4Utg6Rl9LjtpQ</t>
  </si>
  <si>
    <t>UCXFnJs6JEY91BWkgElUiIig</t>
  </si>
  <si>
    <t>UCx3Xvg2G9MUra2f7eWrweGg</t>
  </si>
  <si>
    <t>UClHeEpe_QWW1jxCMatKCkzQ</t>
  </si>
  <si>
    <t>UC6xUcpewcYKMIvXWC39bu9A</t>
  </si>
  <si>
    <t>UC9jGt1X3J14c5GAeAO8EDvQ</t>
  </si>
  <si>
    <t>UCA4upGBl9EGqYOrMkBRxIUg</t>
  </si>
  <si>
    <t>UCRaAPyppJGU5Yds5lDDlb1Q</t>
  </si>
  <si>
    <t>UCV6YNtkIq41tS1aUynMnoTw</t>
  </si>
  <si>
    <t>UCV5NmnIggBXfHNRqsqYBPHg</t>
  </si>
  <si>
    <t>UChkL5Lh3Dn5xtgmO7QrjuDw</t>
  </si>
  <si>
    <t>UCuTRD7EkeDxVFdkdziqGAWA</t>
  </si>
  <si>
    <t>UCuyDUN7SDHJd3-UQhX69A9w</t>
  </si>
  <si>
    <t>UCJ7JJfGzhW5TZX5Pbsp6XyQ</t>
  </si>
  <si>
    <t>UCBG9ELVWsYR8H8WS_KGQufQ</t>
  </si>
  <si>
    <t>UCEPBRv8fyf8zIR1gzyGn8qg</t>
  </si>
  <si>
    <t>UC4rU9PYja99OHl9qHrP0llQ</t>
  </si>
  <si>
    <t>UCybalFNVaTrZPHp-_cPGb8Q</t>
  </si>
  <si>
    <t>UC_8SF2yDQfYFS_B66zwsdDw</t>
  </si>
  <si>
    <t>UCVTt3IPhlNu2cae9QyIFZHg</t>
  </si>
  <si>
    <t>UC5atOZ2cXiS_TcTq8DV2gzQ</t>
  </si>
  <si>
    <t>UCVi7No8pCGF2Ojhz1c_aUZQ</t>
  </si>
  <si>
    <t>UCOXSSL56qhApdeIzp6y6b2A</t>
  </si>
  <si>
    <t>UCylMH4anH1qZ3BI7zKmRE7Q</t>
  </si>
  <si>
    <t>UCngfwdBt4V8gv-d14tu20HQ</t>
  </si>
  <si>
    <t>UCCwa-poBFGXBJL1OhOSf1wQ</t>
  </si>
  <si>
    <t>UClPlgNc4dpa-ymND_dWE-9w</t>
  </si>
  <si>
    <t>UC7V-eKD4-9qacoIOSfjCkvQ</t>
  </si>
  <si>
    <t>UCl_-t3QxGQvNu9-Wp1iGLdQ</t>
  </si>
  <si>
    <t>UC72mAuOZR5GBLYq7vDITHuw</t>
  </si>
  <si>
    <t>UCe9SZXN8hQOR5jjWTKgMNiA</t>
  </si>
  <si>
    <t>UCZ8nrFIJyJwN6R0ZOALXetQ</t>
  </si>
  <si>
    <t>UCc_IrnsTVtcDBTMBJ6prkag</t>
  </si>
  <si>
    <t>UCd0sHnrF1NVw90DF39XEKDQ</t>
  </si>
  <si>
    <t>UC9AMcBHhYQKbFy83LwC70Fg</t>
  </si>
  <si>
    <t>UCQm-eZonEALK3soY6l1QuCA</t>
  </si>
  <si>
    <t>UCgeaB9V_kFKh-hU_yGjNvjw</t>
  </si>
  <si>
    <t>UCPvkSOa9uU8mqNMYuGeYq1w</t>
  </si>
  <si>
    <t>UCnUI6Ssl3FclHjuE2tEYN8w</t>
  </si>
  <si>
    <t>UC85OOjTRUfgLKNWTMIvPp-Q</t>
  </si>
  <si>
    <t>UC4JxISL4zq6bR8fkL0zzxrA</t>
  </si>
  <si>
    <t>UCuQ_8nkWLkfwU7LROEKCzfg</t>
  </si>
  <si>
    <t>UCxeLD_unYqcF-hMFfpwP8bA</t>
  </si>
  <si>
    <t>UC0-d0qMhGZQ1ZpuIZvQGPzA</t>
  </si>
  <si>
    <t>UCQhhxor95wtiDxuQdQrljCA</t>
  </si>
  <si>
    <t>UCP6YGSaCdnBaF7dShuCR0aA</t>
  </si>
  <si>
    <t>UCTESLPLt2_wAX3ltGs3w09w</t>
  </si>
  <si>
    <t>UCshNH5WXvJ70zeeJkMv6jbQ</t>
  </si>
  <si>
    <t>UCeVaJ_1m9gMXcDFX9d1YtXQ</t>
  </si>
  <si>
    <t>UChq3AzwSatOknzk3fglc94w</t>
  </si>
  <si>
    <t>UCr0Eclqtwor1N3uAYG0Z3rw</t>
  </si>
  <si>
    <t>UC2uIoW3cCj7GB3UTuEDLV1w</t>
  </si>
  <si>
    <t>UCsq8SXE8cep1LI_Y8XfL4jg</t>
  </si>
  <si>
    <t>UC6JkDblmdOQF2NFTBJ5_4Ng</t>
  </si>
  <si>
    <t>UC3M0dy_bsmIy5gLcvLHwahg</t>
  </si>
  <si>
    <t>UC7zED_KFa6-AaMwyUpeSAAQ</t>
  </si>
  <si>
    <t>UCf8SkhKscLmAF_zofz-5VXQ</t>
  </si>
  <si>
    <t>UCk1PoOyEAavdmyr0VdVN1Zg</t>
  </si>
  <si>
    <t>UCxH7QekYGX6Zj7xDozlqXbg</t>
  </si>
  <si>
    <t>UCKrUAYzPSyq1cBlKN08M6qw</t>
  </si>
  <si>
    <t>UCkLPx3Y2qhbDjUwEQRqLv0A</t>
  </si>
  <si>
    <t>UCj-YNRE6g8gXzAaXu-kQ7Og</t>
  </si>
  <si>
    <t>UCmbTaq_33tRrVi_b7V2zzwg</t>
  </si>
  <si>
    <t>UC6-_IKv5-IipN6rYvnyoNUg</t>
  </si>
  <si>
    <t>UC0ejCnEOTEswqFo4wd_6N9g</t>
  </si>
  <si>
    <t>UCl3_JxeNm227rFEceAPDi7A</t>
  </si>
  <si>
    <t>UC66vVHIk59YgD3h1mm1KrXQ</t>
  </si>
  <si>
    <t>UC4n1n-2l0CaRwTErBeFB_ww</t>
  </si>
  <si>
    <t>UCyCJVMyIh50PLFp6vCZ6-Zw</t>
  </si>
  <si>
    <t>UCoB94ow_SQUv369e2uhOXSw</t>
  </si>
  <si>
    <t>UC7roQpV6qEGtQqPL_d0KlHw</t>
  </si>
  <si>
    <t>UCQVbb4dGKq_eQU0Urm0imww</t>
  </si>
  <si>
    <t>UCCb9_Kn8F_Opb3UCGm-lILQ</t>
  </si>
  <si>
    <t>UCv0vw-y0YIwqEbU305hhcFg</t>
  </si>
  <si>
    <t>UCPV_4r46H2Qo-jvCJOshyCw</t>
  </si>
  <si>
    <t>UCB_X37NbtJ8tXBrYj_4mEHg</t>
  </si>
  <si>
    <t>UCNciB2joNhQCbcvuS_sf_fQ</t>
  </si>
  <si>
    <t>UCA6OvhEq-_c8R9hHdJkqp3A</t>
  </si>
  <si>
    <t>UCNZfOYWp05qz-k-2UKkfCTA</t>
  </si>
  <si>
    <t>UCo0TNY6-xhfq93AOKF_zDng</t>
  </si>
  <si>
    <t>UCudmJpNyT3lLYSTkmkhDm8w</t>
  </si>
  <si>
    <t>UCcBoleECTMUEbXqg2AZNHdg</t>
  </si>
  <si>
    <t>UCgGajeuaTuh2HMsWDSnsD7Q</t>
  </si>
  <si>
    <t>UC_gmpAYBi-b5LaCaWZnDBhQ</t>
  </si>
  <si>
    <t>UCqDiq5jdrPYU0Qck9GJDbRg</t>
  </si>
  <si>
    <t>UCEqAdgfHAPJPDq0hZqxjvyA</t>
  </si>
  <si>
    <t>UCRZps3dH47Yd7pj8LmS7vmg</t>
  </si>
  <si>
    <t>UCoVrqzF4FU2Lv5vnB_JXchA</t>
  </si>
  <si>
    <t>UCAsUVwqROYclu1B2tk74kwg</t>
  </si>
  <si>
    <t>UCszcmo-D454RsJIOheCu7QQ</t>
  </si>
  <si>
    <t>UCbmNph6atAoGfqLoCL_duAg</t>
  </si>
  <si>
    <t>UC8Gt-9-7Z9vypF8m3WMaOgg</t>
  </si>
  <si>
    <t>UCVRsFyifrTrADDHncqwLghg</t>
  </si>
  <si>
    <t>UCpSb0VfB8knPbOeEdHGJdnQ</t>
  </si>
  <si>
    <t>UCif9JdoLvBtApiSu94tWjPg</t>
  </si>
  <si>
    <t>UCcyRyUvk-VLYGh8srnf9E2Q</t>
  </si>
  <si>
    <t>UCGajcAd0-l59-ly_FeDMYXw</t>
  </si>
  <si>
    <t>UCewxu9BEC64CfQVzR6vd3cA</t>
  </si>
  <si>
    <t>UC2T_oimRLkjFPyGYeAz6qPw</t>
  </si>
  <si>
    <t>UCqS6Idv3FEU9VQX7-yHwnSw</t>
  </si>
  <si>
    <t>UCY8xUWeaWVE4JY05JUupzYQ</t>
  </si>
  <si>
    <t>UC3WCzD4z9DiTLTempQrMUeg</t>
  </si>
  <si>
    <t>UCoHpLfLDotbsVyGvGlsekQA</t>
  </si>
  <si>
    <t>UClF3Q-_xtSxneYXZZIs3rtQ</t>
  </si>
  <si>
    <t>UCnrbbUoV6A2YP0tCJJfJSsg</t>
  </si>
  <si>
    <t>UCfpw3xq_g1xpdwlyq11atZQ</t>
  </si>
  <si>
    <t>UCdmhCH2BrYLQeiYzykYSBlA</t>
  </si>
  <si>
    <t>Commented Video</t>
  </si>
  <si>
    <t>Replied Comment</t>
  </si>
  <si>
    <t>Posted Video</t>
  </si>
  <si>
    <t>Reply</t>
  </si>
  <si>
    <t>Thanks for the video, but actually I don&amp;#39;t understand why you download Post-Post Network &amp;quot;likes &amp;amp; comments&amp;quot; that seems to not show the name, and then upload in gephi another nodexl file. Could you explain better please? Thank you very much in advance</t>
  </si>
  <si>
    <t>Hi Brittany. Thank you very much for the tutorial.  I downloaded Facebook data but the vertices were all in numbers instead of names. I wonder what I can do to convert the vertices into names?  I noticed that in your tutorial,  the vertices changed from numbers to names.</t>
  </si>
  <si>
    <t>can i use my profile?</t>
  </si>
  <si>
    <t>Thank you for this video. Basically covers the basics of Gephi in one short video</t>
  </si>
  <si>
    <t>+Gilles Havik Yeah, seems so !</t>
  </si>
  <si>
    <t>Seems that this function is no longer open source</t>
  </si>
  <si>
    <t>Hi Marc, any tutorial on the same would be more than helpful. Regards.</t>
  </si>
  <si>
    <t>thanks for the tutorial.</t>
  </si>
  <si>
    <t>I wish it had sound but still, thanks. I learnt a thing or two</t>
  </si>
  <si>
    <t>i wonder, where did you find those twitter account dataset? or how you acquire it?</t>
  </si>
  <si>
    <t>So cool to see you all ...</t>
  </si>
  <si>
    <t>Cool! What a wonderful tool. Hats off to the folks who made this :-)</t>
  </si>
  <si>
    <t>A ti querida Eva por invitarme :  Los que deseen conocer su mapa de audiencia y como llegar a ellas con estrategias pueden contactarme aqui :  &lt;a href="https://vivianfrancos.com/conoce-tus-mapas-de-audiencia-nodexl/"&gt;https://vivianfrancos.com/conoce-tus-mapas-de-audiencia-nodexl/&lt;/a&gt;</t>
  </si>
  <si>
    <t>Gracias por acompañarnos y contarnos tantas cosas interesantes de analítica.</t>
  </si>
  <si>
    <t>Thank You. There are several tips&amp;amp;tricks more.&lt;br&gt;One fun is this&lt;br&gt;Gephi JS - an interactive map directly with gexf file&lt;br&gt;&lt;br&gt;&lt;a href="http://mihkal.indeedsir.com/isfi/"&gt;http://mihkal.indeedsir.com/isfi/&lt;/a&gt;</t>
  </si>
  <si>
    <t>Fantastic video, thanks for sharing Mika!</t>
  </si>
  <si>
    <t>Link to the dataset is below&lt;br&gt;&lt;br&gt;This is a Gephi visualization of the dataset. Layout used is Force Atlas 2 and the size of the nodes is calculated in NodeXL = Betweenness Centrality. So the Graph tells the most influentials in that network by that metric. You can download the gephi dataset and also nodexl data from the links on this page.&lt;br&gt;&lt;br&gt;About the dataset.&lt;br&gt;&lt;br&gt;The graph represents a network of 17,971 Twitter users whose recent tweets contained &amp;quot;premierleague OR &amp;#39;premier league&amp;#39;&amp;quot;, or who were replied to or mentioned in those tweets, taken from a data set limited to a maximum of 18,000 tweets. The network was obtained from Twitter on Wednesday, 01 April 2020 at &lt;a href="https://www.youtube.com/watch?v=o-D-Duv8Mcs&amp;amp;t=10m24s"&gt;10:24&lt;/a&gt; UTC.&lt;br&gt;&lt;br&gt;The tweets in the network were tweeted over the 15-hour, 25-minute period from Tuesday, 31 March 2020 at &lt;a href="https://www.youtube.com/watch?v=o-D-Duv8Mcs&amp;amp;t=18m26s"&gt;18:26&lt;/a&gt; UTC to Wednesday, 01 April 2020 at &lt;a href="https://www.youtube.com/watch?v=o-D-Duv8Mcs&amp;amp;t=09m51s"&gt;09:51&lt;/a&gt; UTC.&lt;br&gt;&lt;br&gt;Additional tweets that were mentioned in this data set were also collected from prior time periods. These tweets may expand the complete time period of the data.&lt;br&gt;&lt;br&gt;There is an edge for each &amp;quot;replies-to&amp;quot; relationship in a tweet, an edge for each &amp;quot;mentions&amp;quot; relationship in a tweet, and a self-loop edge for each tweet that is not a &amp;quot;replies-to&amp;quot; or &amp;quot;mentions&amp;quot;.</t>
  </si>
  <si>
    <t>What, exactly, is this visualization trying to communicate? What is the data about?</t>
  </si>
  <si>
    <t>nice!</t>
  </si>
  <si>
    <t>hi... can&amp;#39;t get data the same nodexl by java.... &lt;br&gt;Who have do it? help me please.</t>
  </si>
  <si>
    <t>Hi Rachit ..by location you mean.. location of friends ..or a particular location..i guess one way would be to import your network and then use filters normally present in excel and then generate a graph ..</t>
  </si>
  <si>
    <t>very nice explanation, thank you for that. But I just wanted to know that if we want to extract location specific data for the analysis work then which software or method would be best.</t>
  </si>
  <si>
    <t>Hi... what is the name of the website you mentioned in minute &lt;a href="http://www.youtube.com/watch?v=39yXz72qdow&amp;amp;t=4m08s"&gt;4:08&lt;/a&gt;?</t>
  </si>
  <si>
    <t>It´s possible to select posts by date from FB? I´m new in NodeXL And I need to know it...</t>
  </si>
  <si>
    <t>this is not up-to-date....</t>
  </si>
  <si>
    <t>Having the same issue ... what&amp;#39;s the way out please</t>
  </si>
  <si>
    <t>Hiiii,  Please help  me . Its Urgent. When i am trying above one. it is showing me error &amp;quot;There is no Twitter user with that screen name&amp;quot;.  i am trying it on Microsoft office 2007. is their some version specific requirement.Please help  me .</t>
  </si>
  <si>
    <t xml:space="preserve"> thank you for your well paced and thorough introduction Professor Cook.  Can you please advise me on any communities that focus on SNA for brand communities? I work in digital brand strategy and am keen to use experimental techniques. my email is mlwrose@gmail.com or twitter @mattrose_rsa. thank you.</t>
  </si>
  <si>
    <t>Is there any way to look at the Twitter user network with the updated version? I&amp;#39;d like to do the analysis you did in the first portion of the video but can&amp;#39;t find a way to generate the same type of data you got using the new import feature. I found this article that talks about updates since June 2013. &lt;a href="https://www.connectedaction.net/new-nodexl-updates-twitter-user-and-list-importer/"&gt;https://www.connectedaction.net/new-nodexl-updates-twitter-user-and-list-importer/&lt;/a&gt;</t>
  </si>
  <si>
    <t xml:space="preserve">great demo :)
</t>
  </si>
  <si>
    <t>Thank you for the step-by-step guide throughout your lecture on NodeXL. It was very helpful to get my feet wet in the field!</t>
  </si>
  <si>
    <t>Mr. Dumitru, if you have Twitter data already stored in an Excel file, you can import it into an analytical program for analysis (R, Stata, Systat, UCINET).  What is the structure of your data?</t>
  </si>
  <si>
    <t>@James Cook Dear Mr Cook,&lt;br&gt;&lt;br&gt;Thank you for replying. The data were collected manually since there is no tool suitable to collect and store it in the format I wanted. The data, covering the full year of 2012, are stored in a excel file with the following column headers: &lt;br&gt;Date&lt;br&gt;Time&lt;br&gt;Lg&lt;br&gt;Tweet content&lt;br&gt;#&lt;br&gt;Mentions tweet body&lt;br&gt;Link&lt;br&gt;Cc&lt;br&gt;RT&lt;br&gt;RT author&lt;br&gt;Fav&lt;br&gt;Fv author&lt;br&gt;Mentions&lt;br&gt;Replies&lt;br&gt;Who replied&lt;br&gt;Reply content&lt;br&gt;&lt;br&gt;Best regards,</t>
  </si>
  <si>
    <t>@Petru Dumitru It looks like you have a number of implicit ties (or &amp;quot;edges&amp;quot;) in each row of data: from the original author to a retweet author; from the original author to a favorite author.  If you want to import this into NodeXL, you might want to find a way (manually, if you have a small data set) to separate out each of those edges into an edge list, perhaps one for the retweeting relation and one for the favoriting relation.  (Of course, what you choose to do depends on what your research question is.)</t>
  </si>
  <si>
    <t>Thank you, Mr Cook. What about handling Twitter data already stored into an excel file? </t>
  </si>
  <si>
    <t>Hi!!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t>
  </si>
  <si>
    <t>Hi Dr James!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t>
  </si>
  <si>
    <t>Hello, Alicia.  I might be missing something in what you intend to do, but if you&amp;#39;re only looking at one tweet by one account and its replies, the simplest thing to do would be to go to Twitter and just look up that tweet.  All the replies will be listed underneath that tweet.</t>
  </si>
  <si>
    <t>Hi James, I am a PhD student and I would like to analyze controversial tweets which caused lots of different reactions, so what I would need to collect are specifid tweets which were published by other accounts maybe years ago and all the different replies to that specific tweet (I am talking about more tan 500 replies), I tried a software to download the comments and I was able to download only the tweets from an account not the replies to the comments. I hope now I explained myself, thanks in advance.</t>
  </si>
  <si>
    <t>Ah, I see.  NodeXL isn&amp;#39;t really a good option for this, unfortunately.  Have you looked into the TwitteR package for the statistical program R?</t>
  </si>
  <si>
    <t>I wil check. Thanks for your help</t>
  </si>
  <si>
    <t>Thanks for your video Mr. Cook, I would like to know if there is an option to import the replies from a specific tweet of and specific Twitter account, I need to analyze the replies to only one coment. Could you please help me with this? Thanks in advance!</t>
  </si>
  <si>
    <t>mantab kak...mana yg vide 2 kak?</t>
  </si>
  <si>
    <t>Terima kasih</t>
  </si>
  <si>
    <t>kak, ada link atau tutor buat instal nodeXLnya ngga?</t>
  </si>
  <si>
    <t>I really appreciate this, much thanks for putting this out there! :) May I please request that you shoot videos in the future perhaps with the Cobalt package in R, the white and black don&amp;#39;t fare well with my dyslexia. Different colour schemes and closer-up windows also make for less visual stress. Of course, this is for Augusta so I understand either way and am grateful just to have access to this.</t>
  </si>
  <si>
    <t>Thank you for this video. But I can download historical tweets from a previous timeline? Can you please share codes of collecting historical tweets from an specific timeline?</t>
  </si>
  <si>
    <t>to do this, you&amp;#39;d need to apply for special privileges at &lt;a href="http://developer.twitter.com/"&gt;developer.twitter.com&lt;/a&gt;.</t>
  </si>
  <si>
    <t>This is fantastic, thank you for taking the time to share this!</t>
  </si>
  <si>
    <t>Hello!  Thanks for writing in.  The package twitteR has not been as reliable in use lately as rtweet.  I just ran some rtweet scripts to check and verify that they still work (Twitter can always change an API in ways that temporarily break R packages) -- and for me they do, which suggests that this program may be local for you (or it may be based on the uniqueness of your script).  If you&amp;#39;d like, feel free to send a script to me at james.m.cook@&lt;a href="http://maine.edu/"&gt;maine.edu&lt;/a&gt; over email. One simple question: with authorization, rtweet generates a pop-up window.  Have you checked to make sure that you haven&amp;#39;t blocked pop-up windows in the browser you&amp;#39;re using?</t>
  </si>
  <si>
    <t>Hi James,&lt;br&gt;&lt;br&gt;That’s a great explanation, I have an  issue in getting code using twitteR, rtweet against v2 API. With twitteR I get an error,  OAuth error, incorrectly called  setup_twitter_oauth. With rtweet, i get a 0 value. Almost stuck and frustrated for 3 days now. It’s not hard but I don’t get what’s wrong. Though online platforms solutions didn’t help me. Would you be able to help ?</t>
  </si>
  <si>
    <t>Fantástico, Tulio! Você tem mais videos ensinando a trabalhar com o NodeXL? Tenho interesse em identificar quais páginas os fãs da minha página seguem, é possível essa análise com o NodeXL?</t>
  </si>
  <si>
    <t>Infelizmente não fiz a continuação dos videos... =[</t>
  </si>
  <si>
    <t>onde ta a continuação desses videos ?</t>
  </si>
  <si>
    <t>Ola.. tambem gostaria de saber aonde está a continuação do video.. obrigado</t>
  </si>
  <si>
    <t>Oi, André, obrigado. COmo foram os estudos até hoje? Abs</t>
  </si>
  <si>
    <t>Passei aqui para parabenizá-lo pelo vídeo. Estava apanhando muito tentando aprender sozinho alguns procedimentos aqui tratados de forma extremamente simples. Muito obrigado, ajudou muito no prosseguimento de minha pesquisa.</t>
  </si>
  <si>
    <t>+gustavo camargos Olá Gustavo tudo bem? Também estou fazendo um artigo sobre o tema. Te mandei mensagem no fb, dá uma conferida lá. Abraços</t>
  </si>
  <si>
    <t>Oi gente, abandonei o canal há muito tempo. peço desculpas! Estamos trabalhadno agora diretamente no blog do IBPAD &lt;a href="http://blog.ibpad.com.br"&gt;blog.ibpad.com.br&lt;/a&gt; abs!</t>
  </si>
  <si>
    <t>Olá, ótimo vídeo. Tem alguma previsão para o próximo?&lt;br&gt;Estou fazendo TCC sobre politica nas redes sociais  e estou trabalhando com o nodexl mas ele  importa apenas 200 ultimos tweets, saberia me dizer se tem alguma forma de pegar informação anterior? No nodexl ou utilizando outra forma.&lt;br&gt;Agradeço desde já.</t>
  </si>
  <si>
    <t>OI, Moisés, é super possível. SUgiro abandonar o NodeXL e utilizar o Gephi. Na época que eu fiz o video naõ era conhecido ainda. O que acha?</t>
  </si>
  <si>
    <t>Olá Max, tudo certo? Parabéns pelo vídeo, muito útil.&lt;br&gt;Sou biólogo e preciso fazer um gráfico bipartido para ilustrar a interação de animais com espécies vegetais. Não estou tendo sucesso no NODEXL, você acha possível fazer?</t>
  </si>
  <si>
    <t xml:space="preserve">Oi, Rick, é possível sim. Você vai precisar utilizar o NameGen Web para isso. </t>
  </si>
  <si>
    <t>Oi, Cássio, tudo bem? Há muito tempo não passo por aqui. Sim, é possível. Mas o mais complicado é construir a base de dados. VOcê já possui esses dados? abs</t>
  </si>
  <si>
    <t>Então Max, tenho a base de dados organizada em excel. Estou analisando artigos com o tema open innovation. Eu poderia analisar a ligação entre autores e filiação ou entre autores e revistas onde os trabalhos foram publicados. O que acha?</t>
  </si>
  <si>
    <t>baixei o NODEXL mas quando abro o excel não aparece a aba do NODEXL</t>
  </si>
  <si>
    <t>Max, estou desenvolvendo um artigo de bibliometria e estou buscando um software que possa me ajudar nessa análise. Eu queria verificar os lanços entre os pesquisadores. Isso é possível utilizando o NODEXL?</t>
  </si>
  <si>
    <t>Muuuito Obrigada</t>
  </si>
  <si>
    <t>em import cái YouTube User Network 01 – standard thì nó chạy ra cái lỗi an unexpected problem occurred, lỗi này fix sao ạ</t>
  </si>
  <si>
    <t>i can&amp;#39;t understand how they could not focus on the slides instead on the person.</t>
  </si>
  <si>
    <t>Bummer that this is missing the slides!</t>
  </si>
  <si>
    <t>I like the loop!</t>
  </si>
  <si>
    <t>Thanks Mr Cook for you effort!!</t>
  </si>
  <si>
    <t>Peter Aldhouse has some tips on labeling -- see here: &lt;a href="https://www.peteraldhous.com/CAR/NodeXL_CAR2012.pdf"&gt;https://www.peteraldhous.com/CAR/NodeXL_CAR2012.pdf&lt;/a&gt;</t>
  </si>
  <si>
    <t>sir how to use twitter image as vertices,my data always circle i cannot change it to label or image like in nodexl documentation</t>
  </si>
  <si>
    <t>+Maryam Zolnoori Unfortunately, not at this time, not unless you install a program on a Mac to run Microsoft Windows.  Microsoft Excel for Apple is based on a different programming language, which is why NodeXL won&amp;#39;t work on Apple machines.</t>
  </si>
  <si>
    <t>Hello James:&lt;br&gt;Is it possible to install it on MAC?</t>
  </si>
  <si>
    <t>+James Cook I also can&amp;#39;t open it on windows 10, maybe it works for you because you had it before?</t>
  </si>
  <si>
    <t>@James Cook I can&amp;#39;t find it when I search for it in my computer, and when I try to download it again, it says that the latest version  of this customization is already installed.</t>
  </si>
  <si>
    <t xml:space="preserve">@James Cook Thank you so much!!! I found it in the start but tom :) </t>
  </si>
  <si>
    <t>+Ciro Trejo Moya Hi! Thanks for writing.  I updated to Windows 10, and NodeXL has worked for me there, so the signs are good.</t>
  </si>
  <si>
    <t>+Juliana De Souza Treder Let&amp;#39;s troubleshoot!  When you say you can&amp;#39;t open it, does that mean you A) can&amp;#39;t find it, B) can&amp;#39;t start NodeXL once you find it, or C) can&amp;#39;t use NodeXL properly once you start it up?</t>
  </si>
  <si>
    <t>+Juliana De Souza Treder Good to know.  I had a bit of trouble with this too, on Windows 10 in particular, and the NodeXL folks should fix that bug.  Here&amp;#39;s a trick to try to get around it.  Go to the NodeXL Gallery and pick any example graph -- like &lt;a href="http://www.nodexlgraphgallery.org/Pages/Graph.aspx?graphID=57173"&gt;http://www.nodexlgraphgallery.org/Pages/Graph.aspx?graphID=57173&lt;/a&gt; for example.  Go all the way to the bottom of the page and find the Download the Graph Data as a NodeXL Workbook option.  Download a workbook and save it on your desktop.  Then open the workbook and you will start NodeXL.  Take out all the network data that&amp;#39;s there and save it as a blank network, and you have a good starting place now for all your NodeXL work.  Note: you may get a pop-up message that declares that you can&amp;#39;t open the workbook fully because downloaded from somewhere else and is not in a &amp;quot;trusted location.&amp;quot;  Save it to one of your trusted folders (the Desktop is a handy place usually) and re-open the workbook and you should be OK.  Does this help?</t>
  </si>
  <si>
    <t>+Juliana De Souza Treder Easier solution I just found.  Click the Start button in Windows 10, then click &amp;quot;All Apps.&amp;quot;  NodeXL should appear there in your list.</t>
  </si>
  <si>
    <t>Hello James, I am running Windows 10 by the time, do you have any idea if NodeXL is working on this operating system already?</t>
  </si>
  <si>
    <t>Hello James, I have problem installing NodeXL in my window 8.1 Enterprise. Could you please advice? Thanks</t>
  </si>
  <si>
    <t>in practice, i have so many problems with this software. it doesnt work.</t>
  </si>
  <si>
    <t>works for spanish?</t>
  </si>
  <si>
    <t>Thank you so much for the explanation. I learned a lot! Hope to advance in this program and text mining in general. I wish I can study this topic as part of a PhD program!</t>
  </si>
  <si>
    <t>Hey, I tried Node Excel for Office 13 with Window 8 and I worked for me.</t>
  </si>
  <si>
    <t>Please kindly share the process. it didn&amp;#39;t work for me</t>
  </si>
  <si>
    <t>audio on the video is so quiet I can hardly hear it with my laptop speakers on maximum.</t>
  </si>
  <si>
    <t>I cant install it, only .exe file is available on the link. can u pls upload it into ur google drive &amp;amp; share to me?</t>
  </si>
  <si>
    <t>Dear Piyush, when I tried to visit the page &lt;a href="https://nodexl.codeplex.com/"&gt;https://nodexl.codeplex.com&lt;/a&gt; to download it open with &lt;a href="https://archive.codeplex.com/?p=nodexl"&gt;https://archive.codeplex.com/?p=nodexl&lt;/a&gt; and only allow me to download Nodexl archive.  what to do now. I could have shared the screenshot but here it&amp;#39;s not possible. Kindly help me</t>
  </si>
  <si>
    <t>How did you get the NodeXL tab to show up? You did something there but did not say. I don&amp;#39;t see that tab after installing and running the software.</t>
  </si>
  <si>
    <t>Very Cool. Thank you for this tutorial!!</t>
  </si>
  <si>
    <t>Great tutorial. Thanks Brian!</t>
  </si>
  <si>
    <t>Thank you!! It helped a lot for my PhD!!</t>
  </si>
  <si>
    <t>Merhaba, şu an ben de aynı konu üzerinde bitirme çalışması yapıyorum. Acaba siz nasıl yaptınız, videodaki programı mı kullandınız, biraz bilgi verebilir misiniz rica etsem ?</t>
  </si>
  <si>
    <t>Gerçekten çok teşekkürler yararlı video olmuş .Bitirme projem twitter verileri ile duygu analizi  faydalı oldu..</t>
  </si>
  <si>
    <t>Hocam çok güzel olmuş. Elinize sağlık.</t>
  </si>
  <si>
    <t>@sümeyye çelik aynı hatayı bende yaşıyorum nasıl çözebilirim?</t>
  </si>
  <si>
    <t>@ünzile yeşil &lt;a href="https://www.nodexlgraphgallery.org/Pages/Registration.aspx"&gt;https://www.nodexlgraphgallery.org/Pages/Registration.aspx&lt;/a&gt; surdan indirebilirsiniz.</t>
  </si>
  <si>
    <t>kurulumunu bir bir şekilde gerçekleştirdim fakat şimdide twitter hesap erişimi kısmı pasif geliyor seçemiyrum. ayrıca aramada yapmıyor. ygulama yan yana yapılandırması doğru olmadığından başlatılamadı hatası vereyir neden olabilir cevap verirseniz sevinirim.</t>
  </si>
  <si>
    <t>hocam ücretsiz sürümünü indirip kuramadım farklı bir sitedenmi indirmeye çaliştim acaba linkini paylaşabilirmisiniz ? kurulum yaparken excel 2007 gerekli diye bir uyarı veriyor ve devam  etmiyor ama okudugum yerlerde 2007 ve üstü sürümlerde çalışırr yazıyor&lt;br&gt;&lt;a href="http://download.cnet.com/NodeXL/3001-2077_4-10967171.html"&gt;http://download.cnet.com/NodeXL/3001-2077_4-10967171.html&lt;/a&gt;    den denedim birde&lt;br&gt;&lt;a href="http://nodexl.codeplex.com/"&gt;nodexl.codeplex.com&lt;/a&gt; sitesinde setup yok sanırım.</t>
  </si>
  <si>
    <t>ben de aynısını arıyorum iki video da sizin yorumu görünce yazayım dedim. bulabildiniz mi ?</t>
  </si>
  <si>
    <t>Twitter&amp;#39;dan bir hashtag&amp;#39;te belli tarihler arasında veri çekmek istiyorum . hangi programı kullanmalıyım? örneğin  27/02.2020 - 04/03/2020 tarihleri arasında &lt;a href="http://www.youtube.com/results?search_query=%23m%C3%BClteci"&gt;#mülteci&lt;/a&gt; hashtag&amp;#39;iyle atılan verileri görebilir miyim?</t>
  </si>
  <si>
    <t>Hello sir,&lt;br&gt;I have one question. &lt;br&gt;I recently start my msc thesis, social media  network analysis but i don&amp;#39;t know how to start what kind of analysis we can do and what kind of problem we can solve with social network analysis. What will be my research area .</t>
  </si>
  <si>
    <t>This is a new version?</t>
  </si>
  <si>
    <t>how do i use the fade out when i filter the graph?</t>
  </si>
  <si>
    <t>Why do you use harel over frucherman? Is just a personal preference?</t>
  </si>
  <si>
    <t>This has been extremely helpful, thank you.</t>
  </si>
  <si>
    <t>really helpful, thank you</t>
  </si>
  <si>
    <t>Link download software nya kok error ya min?</t>
  </si>
  <si>
    <t>the link doesnt work :(</t>
  </si>
  <si>
    <t>Thank you! Life saver!</t>
  </si>
  <si>
    <t>Hi Kellogg, could you send me the sample data to me for practise, since the NodeXL has banned the twitter importer for basic version. Really appreciate your help</t>
  </si>
  <si>
    <t>NodeXL generates the graphs, and they can be exported as a standard jpeg file.</t>
  </si>
  <si>
    <t>Which application software is used for graph output?? please help</t>
  </si>
  <si>
    <t>Hi, V.M.. One important change in NodeXL since 2013 is that there is now a Pro (paid) and a Basic (free) version. In the Basic version, many previously free capabilities are no longer available.  In NodeXL Pro now, collecting only mentions (and not replies) is not possible, but it is simple enough in the results to filter out one type or the other.</t>
  </si>
  <si>
    <t>I see, thank you for helping.</t>
  </si>
  <si>
    <t>Dear Dr Cook, Is it right that the preview of the edges&amp;#39; options(for importing data from twitter) of the latest nodeXL kind of different from the 2013 one (that i  saw on ur previous tutorial) ?. As we are no longer able to have an option whether to take mentions only, reply to only,etc.&lt;br&gt;Thank You</t>
  </si>
  <si>
    <t>Great video!</t>
  </si>
  <si>
    <t>Nice work, thanks!</t>
  </si>
  <si>
    <t>We can hardly see what is written in Node EXl I think it would be a lot better understandable to make it a little bit bigger.Thank you any way</t>
  </si>
  <si>
    <t>Thank you for saving my ass 7 years after uploading this video. It&amp;#39;s just annoying that so many features are not available anymore in the basic version.</t>
  </si>
  <si>
    <t>Thanks g</t>
  </si>
  <si>
    <t>Fantastic video, cant wait for the deep dive into NodeXL</t>
  </si>
  <si>
    <t>merhaba hocam bende yüksek lisans tezimde kullanmak istiyorum ama daha çok yeniyim ve daha cok yabancı kaynak buldum , sizle görüşmeyi rica etsem kabul eder misiniz? telefondan bir kaç soru sorsam ? kolaylıklar diliyorum</t>
  </si>
  <si>
    <t>Hocam merhaba, programı sayenizde yükleyip çalıştırdım, doktora tezimde kullanıcam. Bir iki sorum olacak, size nasıl ulaşabilirim. Şimdiden çok teşekkürler. 0532 3084622. Saygılarımla.</t>
  </si>
  <si>
    <t>Merhabalar. İlginiz için çok teşekkür ederim. Sizlerden gelen mesajlar ve yorumlar üzerine buraya bir not sabitledim. Umarım işinizi görür. İyi çalışmalar.</t>
  </si>
  <si>
    <t>SELAM, BU KONUDA YARDIMA İHTİYACIM VAR ULAŞABİLİR MİSİNİZ?</t>
  </si>
  <si>
    <t>Emeğine sağlık kardeşim ❤_xD83D__xDE4B_‍♂️ yeni videolar istiyoruz_xD83D__xDC4D_</t>
  </si>
  <si>
    <t>indirdiğimiz veriyi gephi de açmak için hangi uzantı ile nasıl kaydedceğiz?</t>
  </si>
  <si>
    <t>Merhaba; Mail gelmiyor ne yazık ki?</t>
  </si>
  <si>
    <t>So awful, it ruins an otherwise good video!</t>
  </si>
  <si>
    <t>I hear your clock.  Tick,, tick,, tick,, tick,,</t>
  </si>
  <si>
    <t>I can&amp;#39;t hear u, honestly</t>
  </si>
  <si>
    <t>NIce video. Greatly appreaciated. Which is the next video following that one?</t>
  </si>
  <si>
    <t>Cuál es la data?</t>
  </si>
  <si>
    <t>Links from others to you = in degree&lt;br&gt;&lt;br&gt;Links from you to others = out degree</t>
  </si>
  <si>
    <t>what is indigree and out digree Account please tell me</t>
  </si>
  <si>
    <t>FIRST.</t>
  </si>
  <si>
    <t>Nice</t>
  </si>
  <si>
    <t>Can it instaled in macbook m1? Recomended spesification for laptop/ notebook to run it?</t>
  </si>
  <si>
    <t>مشكورين....</t>
  </si>
  <si>
    <t>اسباب كل كلامك النظري غير التطبيقي والذي اضعتي فيه كثير من وقتنا .....حضرتك اما تسوي دعاية للبرنامج اللي ذكرتيه.....او بهرجه وعرض وكأنك داخله حمله انتخابيه ومحتاجه اصوات  لا بد من تطبيق عملي  حتى نستفيد</t>
  </si>
  <si>
    <t>ممكن خاص او حسابك على تويتر كرما</t>
  </si>
  <si>
    <t>Hi, Thanos, and thanks for writing.  Indeed, you can indeed fix the nodes according to any X/Y variable, which Longitude/Latitude is a particular instance of.  And if you right-click on the graph of your network, you can select &amp;quot;Graph Options,&amp;quot; and one of those graph options is to set a background image. </t>
  </si>
  <si>
    <t>Super! I did both. This software makes a very powerful tool for data visualization!. It is very easy to use and flexible. I&amp;#39;m really impressed!</t>
  </si>
  <si>
    <t>Thank you!</t>
  </si>
  <si>
    <t>Hi James. Thank you for the video. It is really goodE I have a couple of questions for you. I am looking for a free softwrare to visualise the material flow (transportation) of our goods withing the European map. I think from your presentation I can do everything I have in mind but I&amp;#39;m not sure about a couple of things:&lt;br&gt;&lt;br&gt;1) Can I &amp;#39;fix&amp;#39; the position of my nodes on 2-dimensional space (i.e. by inserting Longitude-Latitude)? I see that I can move the position of the nodes but this is one-by-one manually.&lt;br&gt;&lt;br&gt;2) Can I paste a background photo behind my network? In the past I have done the same using Scatterplots to draw points or simple lines over maps.&lt;br&gt;&lt;br&gt;In any case NodeXL is a good software to add in my arsenal :-)</t>
  </si>
  <si>
    <t>Hi what is the url for the assignment.&lt;br&gt;Do you have a powerpoint presentation as well. </t>
  </si>
  <si>
    <t>@TheRaph75 Good question, and yes, there is!  First, set different attributes for the vertices you want to group in the &amp;quot;Other Columns&amp;quot; area of the NodeXL spreadsheet.  Then, select Groups --&amp;gt; Group by Vertex Attribute in the &amp;quot;Analysis&amp;quot; portion of the toolbar on top.  For more info on this, I recommend Analyzing Social Media Networks with NodeXL, a book from the folks who wrote the software.  &lt;a href="http://www.amazon.com/Analyzing-Social-Media-Networks-NodeXL/dp/0123822297"&gt;http://www.amazon.com/Analyzing-Social-Media-Networks-NodeXL/dp/0123822297&lt;/a&gt;</t>
  </si>
  <si>
    <t>@James Cook Thank you for your very quick answer, really appreciated. Just tested it, works very well. Now I have to finetune the layout, but you gave me the right directions :-) Many thanks for your help, i&amp;#39;ll check out the book too! Wish you a nice day professor :-) </t>
  </si>
  <si>
    <t>Good morning professor Cook. I&amp;#39;m a professional IT employée and found NodeXL a few days ago. Your tutorials are very helpful and easely understandable! I&amp;#39;m still struggeling with one point (maybe I missed it somewhere or just didn&amp;#39;t understood it well). Is there a possibility to group graphically vertices into &amp;quot;predefined&amp;quot; groups? For a stupid and simple axample, let&amp;#39;s say i have 6 vertices: A1, A2, A3, and B1, B2, B3. Let&amp;#39;s say there are links between &amp;#39;em, but the question and problem is: can I define manually and graphically two &amp;#39;bubbles&amp;#39;, one which englobes all A vertices and another defined group &amp;#39;bubble&amp;#39; which envelopes all B vertices?!  And if yes, of course, would you be so kind and redirect me to any writte explanation on how to do so? Hope my question was clear enough, as English isn&amp;#39;t my native language, so, pardon me the few mistakes. Thanks in advance, best regards.</t>
  </si>
  <si>
    <t>Excellent practicum. Combined with a couple of hours of theory this should take the novice from &amp;quot;no-nothing&amp;quot; to &amp;quot;enough-to-be-dangerous&amp;quot;. Thanks for posting this to a public forum.</t>
  </si>
  <si>
    <t>Excellent tutorial. I am new to NodeXL and want to do a SNA on some historical figures from the Antiquity. Your video will assist me immensely. Thank you.</t>
  </si>
  <si>
    <t>Thank you so much! So clear - I managed to get a start finally!</t>
  </si>
  <si>
    <t>Thanks a bunch!!!</t>
  </si>
  <si>
    <t>This is very helpful! I am new to exploring SNA and this is an excellent tutorial. Thank you.</t>
  </si>
  <si>
    <t>@Derek Caelin Hello! Thank you for this really helpful video! Please, are you sure that NodeXL still can be used with Facebook ? Their website says otherwise, I don&amp;#39;t want to purchase their program if it doesn&amp;#39;t work with Facebook. Thank you again!</t>
  </si>
  <si>
    <t>Hola Socorro muy buenos dias . No conozco ninguna herramienta externa que mida audiencias de facebook , hay algunas que muestran las mismas analiticas con mascaras que te dejan ver mas facilmente la data, pero  como imaginas son muy costosas  como ejemplo te pongo la plataforma MadGicx y talkwaker</t>
  </si>
  <si>
    <t>Gracias por compartir. Me gustaría saber si con esta herramienta puedo analizar redes en Facebook o ¿qué herramienta puedo usar para analizar esa red social?</t>
  </si>
  <si>
    <t>Yes - it works with your personal network, public groups, and the groups you belong to.</t>
  </si>
  <si>
    <t>@Sarah Tabit I hear that - just deleted my account. it looks like Facebook is no longer supported: &lt;a href="https://www.smrfoundation.org/2019/09/05/nodexl-pro-facebook-data-importers-no-longer-functional/"&gt;https://www.smrfoundation.org/2019/09/05/nodexl-pro-facebook-data-importers-no-longer-functional/&lt;/a&gt;</t>
  </si>
  <si>
    <t>Hello. Can I use NodeXL to analyze social media networks on Facebook?</t>
  </si>
  <si>
    <t>Hello Derek! Thank you for the video. It is really easy to follow and extremely useful.</t>
  </si>
  <si>
    <t>wonderful insightful and absolutely amazing :O :O</t>
  </si>
  <si>
    <t>Thank you Derek! Very intresting and cool use of these 2 sofware!</t>
  </si>
  <si>
    <t>Thank you so much for sharing!</t>
  </si>
  <si>
    <t>this link does not work anymore what do I do?</t>
  </si>
  <si>
    <t>@James Cook Hi, I&amp;#39;m onto the new link already. However, I couldn&amp;#39;t find either download or install button. Do you have any suggestion ?</t>
  </si>
  <si>
    <t>Hello.  Yes; it&amp;#39;s changed since the video has been shot.   Try &lt;a href="https://www.smrfoundation.org/nodexl/installation/"&gt;https://www.smrfoundation.org/nodexl/installation/&lt;/a&gt; for downloads and installation instructions.</t>
  </si>
  <si>
    <t>@Lilo Nguyen Hi, Lily Red. The &lt;a href="http://smrfoundation.org/"&gt;smrfoundation.org&lt;/a&gt; link below has a text link that leads to this page: &lt;a href="https://nodexlgraphgallery.org/Pages/registration.asp"&gt;https://nodexlgraphgallery.org/Pages/registration.asp&lt;/a&gt; . Hope that&amp;#39;s helpful.</t>
  </si>
  <si>
    <t>the link doesnot work its gives me download archives. what should i do?</t>
  </si>
  <si>
    <t>Thank you for impressing video. I&amp;#39;m going to put my formula in a node-exel graph to see the change. I&amp;#39;d like to know how?</t>
  </si>
  <si>
    <t>DK, thanks for writing.  I wouldn&amp;#39;t think about the NodeXL vs. R issue as one that involves general superiority of one over the other.  NodeXL&amp;#39;s strengths are in ease of visualization and analysis within a system that is comfortable to most generalists -- the spreadsheet environment of Microsoft Excel.  R, on the other hand, doesn&amp;#39;t cost anything (sadly, this is no longer the case for a functional version of NodeXL), it is freely extensible with igraph and other packages, and can engage in a more complete set of network analyses, such as QAP regression and exponential random graph modeling.  With work and a LOT of tinkering, R can approach NodeXL in beauty of visualization, but it is a lot of work.  The balance of these features will tip in one direction or another based on what your interests in research might be, how much time you have, and what your skill level in coding might be.</t>
  </si>
  <si>
    <t>Thanks for the detailed reply. That helps a lot. I hope you have a wonderful day!</t>
  </si>
  <si>
    <t>Hello! First of all, I want to thank you for sharing these wonderful videos about social network analysis/web data scraping. I have learned a lot in the past couple of days by watching your videos. As a doctoral student, I feel more confident that I now have one more tool in my toolbox as a researcher. Thank you so much.... I would be grateful if you could answer one question. So far, from your videos, I&amp;#39;ve learned that it is possible to import Twitter data, visualize, and analyze the data (network data) by using R. Do you think NodeXL can do much more than what R is capable of. Or you can pretty much do everything that NodeXL can do by using R? Thank you in advance. Sincerely, Dae</t>
  </si>
  <si>
    <t>Amazing</t>
  </si>
  <si>
    <t>Hello!  To make node shapes be images, first select the shape option &amp;quot;Image&amp;quot; in the Vertex tab, then look for a column titled &amp;quot;Image File&amp;quot; and enter the URL of the image you would like to appear.</t>
  </si>
  <si>
    <t>I would like to ask you how can I put an image to the label of character. Thank you!</t>
  </si>
  <si>
    <t>Very important video</t>
  </si>
  <si>
    <t>How can I add a bidirectional arrow in the NodeXL?</t>
  </si>
  <si>
    <t>Thank you so much for this video. I&amp;#39;m graduating in Social Comunication in Brazil and doing a work about the interactions around a famous TV Show here on Twitter.&lt;br&gt;I&amp;#39;m using NodeXL and some of your tips really helped me, like telling in an easy way what are Clusters and how they are made by the algorithm, or why do NodeXL chooses the more recent interactions on Twitter&amp;#39;s search. Thanks!!</t>
  </si>
  <si>
    <t>Meredian, thanks for writing.  It seems that the last use of the hashtag was in February, and unfortunately Twitter search results go back at best of times only about two weeks.  It you want to capture Tweets as they come in and save them, a low-cost easy service is Tweet Archivist Desktop.</t>
  </si>
  <si>
    <t>Hi Dr James. Many thanks for the information. Anyway, I endeavoured to do analysis on environmental network on Twitter using  &lt;a href="http://www.youtube.com/results?search_query=%23SaveBabakanSiliwangi"&gt;#SaveBabakanSiliwangi&lt;/a&gt;  but the vertices and graphic can&amp;#39;t come up. When I inserted  &lt;a href="http://www.youtube.com/results?search_query=%23SaveBabakanSiliwangi"&gt;#SaveBabakanSiliwangi&lt;/a&gt;  to Import menu &amp;quot;From Twitter Search Network&amp;quot; the vertices are supposed to be appearing because  &lt;a href="http://www.youtube.com/results?search_query=%23SaveBabakanSiliwangi"&gt;#SaveBabakanSiliwangi&lt;/a&gt;  has been widely mentioned in these recent days. Can you give me a hand how to resolve this issue? Thank you in advance and looking forward to hearing from you. </t>
  </si>
  <si>
    <t>Hi Avkash! Thanks for the inspiring information. Anyway, I am currently researching the network of environmental movement in Indonesia with &lt;a href="http://www.youtube.com/results?search_query=%23SaveBabakanSiliwangi"&gt;#SaveBabakanSiliwangi&lt;/a&gt;, but only 1 vertice appeared as the result. The vertices are supposed to be a lot because &lt;a href="http://www.youtube.com/results?search_query=%23SaveBabakan"&gt;#SaveBabakan&lt;/a&gt; Siliwangi have been twitted by around thousand users. Can you give me a hand for this issue? Thank you very much. </t>
  </si>
  <si>
    <t>Hello, Meredian.  What I notice, looking at Twitter, is that the hashtag you mention has been used just once since February, with a Tweet on April 1.  When you search through a hashtag using NodeXL, the Twitter API will only return material going a week or two back in time, which is why the earlier February tweets don&amp;#39;t appear in your search results.  That&amp;#39;s an unfortunate limitation of how Twitter chooses to share its data.</t>
  </si>
  <si>
    <t>Hi James! Thanks for the inspiring information. Anyway, I am currently researching the network of environmental movement in Indonesia with &lt;a href="http://www.youtube.com/results?search_query=%23SaveBabakanSiliwangi"&gt;#SaveBabakanSiliwangi&lt;/a&gt;, but only 1 vertice appeared as the result. The vertices are supposed to be a lot because  &lt;a href="http://www.youtube.com/results?search_query=%23SaveBabakan"&gt;#SaveBabakan&lt;/a&gt;  Siliwangi have been twitted by around thousand users. Can you give me a hand for this issue? Thank you very much. </t>
  </si>
  <si>
    <t>Sure do!  Just browse through my video list for examples.</t>
  </si>
  <si>
    <t>Video has been very helpful to me, as a new NodeXL user. Although I just started using NodeXL, this video has taught me a lot! Thanks for this, James! Do you have anymore walk through videos for NodeXL?</t>
  </si>
  <si>
    <t>Hi James! Very clear and helpful tutorial video, thank you for sharing it! You mentioned the Social Network Analysis textbook at the end of your video, do you mind if sharing the name of it? and what textbooks do you think are good for learning social network analysis? Thanks!</t>
  </si>
  <si>
    <t>Excellent walk through, pretty much did my assignment for me :)</t>
  </si>
  <si>
    <t>Thanks a lot for this tutorial, very helpful</t>
  </si>
  <si>
    <t>+Luxmi Verma I believe you are looking for topical analysis..? &lt;br&gt;Is it?</t>
  </si>
  <si>
    <t>@Luxmi Verma Hi Luxmi.  If you don&amp;#39;t want boxes around your clusters, visit Layout -&amp;gt; Layout Options in the Graph Ribbon and set the width of the box outline to zero.</t>
  </si>
  <si>
    <t>Hi james , how to get rid of cluster boxes i dont need</t>
  </si>
  <si>
    <t>i have the data in terms of author using the hashtag , how can i visualize that as not column is present on twitter user networks</t>
  </si>
  <si>
    <t>+Luxmi Verma Right here: &lt;a href="https://nodexlgraphgallery.org/Pages/registration.aspx"&gt;https://nodexlgraphgallery.org/Pages/registration.aspx&lt;/a&gt;</t>
  </si>
  <si>
    <t>Hi , any idea how to download nodexlpro ?</t>
  </si>
  <si>
    <t>thanks Prof!, also is there a certification of network analysis that i can take , I find this subject quite interesting</t>
  </si>
  <si>
    <t>@Luxmi Verma that depends on the form of data you have.  Can you post an example of a few lines of text to indicate what your lines of data look like?</t>
  </si>
  <si>
    <t>@James Cook the data format is on excel , is there any email id where can i send the data example, i get the edge list from there but to find vertices i have been told to put the data in R software to develop relations as corresponding tweets are mentioned  wondering what to do?</t>
  </si>
  <si>
    <t>Excel is the file format.  Edge list would be the data format, and if you have an edge list you should be able to cut and paste it in right from Excel, since the NodeXL data format is also an edge list.</t>
  </si>
  <si>
    <t>@James Cook  let me explain so i have author names in one column - node but in another column i have their tweets where they are mentioning / reply to other people , if i am just copying the nodes and psting its is giving me a self loop graph how do i show relation ship here? do i need to manually from the tweet take out themention/reply twitter handle and put on vertices column to build or i have to pass it through R or any other software!! before pasting it to node xl</t>
  </si>
  <si>
    <t>@Luxmi Verma Oh, OK, so you &lt;b&gt;don&amp;#39;t&lt;/b&gt; have an edge list yet.  You need to convert your data into an edge list, though.  You certainly don&amp;#39;t have to pass anything through R, although you could.  Try this: you could expand the &amp;quot;Tweets&amp;quot; column (using the Data-&amp;gt;Text to Columns command) so that the Tweet is separated out into different columns with a space as a delimiter.  Then take every result that contains a &amp;quot;@&amp;quot; and you&amp;#39;ll have the nodes to which they are posting -- the target.  You could create your edge list that way.</t>
  </si>
  <si>
    <t>@James Cook Thank you !! you are a rock Star!!!!! i could do that , &lt;br&gt;wanted to take formal training from you , any possibilities online</t>
  </si>
  <si>
    <t>Hi James , i have data downloaded from Radian 6, how can i import that in node xl</t>
  </si>
  <si>
    <t>@Luxmi Verma Hello again, Luxmi.  I&amp;#39;m not exactly sure what you&amp;#39;re asking, but I &lt;b&gt;think&lt;/b&gt; you&amp;#39;re asking whether it is possible to create a network in which hashtags are nodes (and ties indicate the frequency of co-occurrence) from data in which you have a set of users&amp;#39; tweets.  If that is the question, the answer is a definite YES!  What you would do is enter those tweets into a column in the Edges tab of NodeXL (you can put any value in for Vertex 1 and Vertex 2 for these data).  Then use the command NodeXL-&amp;gt;Graph Metrics-&amp;gt;Words and Word Pairs to create a semantic network as seen here: &lt;a href="https://www.youtube.com/watch?v=lbb2lMCSg64"&gt;https://www.youtube.com/watch?v=lbb2lMCSg64&lt;/a&gt; .  I hope this helps!</t>
  </si>
  <si>
    <t>Hi james i want to visualise Hashtag network , again since i have data from Radian 6 how can i visualise it from tweeter user network , as theses are not giving same coloumn name which u mentioned on hashtag network visualisations - tweeter search network</t>
  </si>
  <si>
    <t>so in radian 6 i get data tweet like this &lt;br&gt;&amp;quot;i really &lt;a href="http://www.youtube.com/results?search_query=%23love"&gt;#love&lt;/a&gt; &lt;a href="http://www.youtube.com/results?search_query=%23cupcake"&gt;#cupcake&lt;/a&gt; &amp;quot;&lt;br&gt; &lt;br&gt;so will &lt;a href="http://www.youtube.com/results?search_query=%23love"&gt;#love&lt;/a&gt; will be in vertex1 and cupcake will be in vertex 2?&lt;br&gt;what if only one hashtag is mentioned in a tweet ?&lt;br&gt;or &lt;br&gt;&lt;br&gt;put all tweet in edge tab  how i will find pair , i mean what you mean by put any value in vertex 1 and vertex 2</t>
  </si>
  <si>
    <t>+Dan Nunya To enter three vertices into the program, simply head to the vertices tab and enter the name of each vertex in its own row in the first column.&lt;br&gt;&lt;br&gt;I think you may not mean three VERTICES, though, but perhaps something else.  Do you mean three MODES?  If you need further help, please contact me at james.m.cook@maine.edu and I&amp;#39;d be happy to discuss this in greater detail.</t>
  </si>
  <si>
    <t>sorry professor. i didnt see this post before i wrote you the email. thanks for responding so quickly. the email explains the problem more clearly.</t>
  </si>
  <si>
    <t>I like your tutorials, so I thought I would ask you to help. I am not in your class, but I am struggling with NodeXL. I have an assignment to enter THREE vertices into the program vs two. I can easily place the first two vertices in the NodeXL spreadsheet, but can&amp;#39;t figure out how to put the third into the spreadsheet and still have the graph function show that third list. I&amp;#39;ve been struggling with it for months, and cannot find a tutorial on that, nor is the book any help. Can you please advise?</t>
  </si>
  <si>
    <t>+Nour Abuhadra Unfortunately, that&amp;#39;s due to limitations imposed by Twitter, not a limitation imposed by NodeXL. This means that there&amp;#39;s not any easy workaround for the problem as you encounter it in NodeXL.</t>
  </si>
  <si>
    <t>+James Cook Thank you so much for your help. Do you know any softwares that can assist me in extracting information from Twitter that dates back farther? Or would this limitation occur regardless? I&amp;#39;ve seen some interesting analyses of hashtags that date back over several years (3-4 years) and I&amp;#39;m looking to do a similar thing. Would appreciate any advice you can give! Thanks!</t>
  </si>
  <si>
    <t>@Nour Abuhadra this is most easily done capturing from the Twitter API firehose in the moment (so not headed significantly backwards in time at the moment of data capture).  I unfortunately don&amp;#39;t know of any tricks to get around this Twitter API limitation looking significantly backward in time with many tweets.  If you find a workaround, please let me know!</t>
  </si>
  <si>
    <t>I had a question. How can I extract data from Twitter if the hashtag was active more than 1 week ago. The version I have seems to be limited by only importing tweets that occurred within the last week on my specific hashtag. I would like to extract information from a meeting that happened in February. I would really appreciate your help! Thanks.</t>
  </si>
  <si>
    <t>In my opinion, one should consider the betweenness centrality but not just consider this criterion as the only one! Closeness centrality and also in/out degree values should be considered :) at least, this is what I&amp;#39;m doing for my master thesis.</t>
  </si>
  <si>
    <t>Could the betweeness centrality node be taken as the most influential in the network?</t>
  </si>
  <si>
    <t>Hi, Lena glt. The 2007 version of NodeXL won&amp;#39;t work with Twitter any more because the Twitter API (the way of obtaining data from Twitter&amp;#39;s servers) has since been updated.  You need to use the newest version of NodeXL for it to work with Twitter.</t>
  </si>
  <si>
    <t>Professor Cook, thank you for the reply. I tried everything and noticed that the 2007 NodeXl version that you use here can be still used with Twitter, but only if you have Windows 7 and previous versions. It will not work with any Windows after Windows 7.</t>
  </si>
  <si>
    <t>Dr Cook, thank you for the videos. I&amp;#39;ve been trying to use NodeXl with Twitter. Downloaded the 2007 edition, also installed Excel 2007 to be compatible. Every time i try to do the Import (from either the Twitter search network or Twitter user&amp;#39;s network) it will release the messages like &amp;quot; The network couldn&amp;#39;t be otained {webException} The remote server returned an error: (410) Gone&amp;quot;. &lt;br&gt;What am i doing wrong?</t>
  </si>
  <si>
    <t>Unfortunately, you don&amp;#39;t. It&amp;#39;s not NodeXL that sets up the limit -- it&amp;#39;s Twitter.  Twitter&amp;#39;s API, through which NodeXL and just about every other Twitter-scraping program accesses Twitter posts, has such a limit built in to prevent resource overuse.  There are ways outside of NodeXL to set up scripts that access small number of Tweets per hour over long periods of time, but that&amp;#39;s really in the class of a Python or R solution, not a NodeXL solution.</t>
  </si>
  <si>
    <t>Ok, thank you so much</t>
  </si>
  <si>
    <t>Hi, Dr. Cook, how do you set up nodexl to import all tweets outside the per hour limit?</t>
  </si>
  <si>
    <t>Hi there, how do you use NodeXL to simply export an account&amp;#39;s network, and which nodes in the network are connected? (As opposed to importing data around themes in tweets). Thank you!</t>
  </si>
  <si>
    <t>Hello Mr Kellogg, &lt;br&gt;Thank you so much for those videos. Very very helpful ! &lt;br&gt;&lt;br&gt;I have a problem with the dynamic filters...&lt;br&gt;I added &amp;quot;Oher columns&amp;quot; in my vertices worksheet : dates of Birth, Election and Death. &lt;br&gt;Automatically, they appeared in my dynamic filters at first... but I don&amp;#39;t know why one of them disappeared (&amp;quot;election&amp;quot;, which is the most important for me) from the dynamic filters window. &lt;br&gt;It&amp;#39;s still in my worksheet, but there is no range bar for it when I open the Dynamic filters window. I can&amp;#39;t find the way to make it appears again. &lt;br&gt;Could you help me with this issue ? &lt;br&gt;&lt;br&gt;Thanks a lot !</t>
  </si>
  <si>
    <t>Hi Dr. Cook,  &lt;br&gt;Thank you very much for sharing those methods ! I am an absolute beginner with NodeXL, but I have to learn using it on my own very quickly for my PhD in History. I have 2 problems in the Vertices worksheet :&lt;br&gt;1- for some vertices lines, there are no metrics at all : no degree, no clotheness centrality, no clustering coefficient... nothing ! For 592 vertices, I have all the information, but for 277 others, absolutely nothing. So it only appears 592 vertices in the &amp;quot;overall metrics&amp;quot; worksheet, instead of 869 ! I don&amp;#39;t understand why. I found no reason : some of the &amp;quot;non registered&amp;quot; vertices are linked in edges, some of them not, they are every where in the list... I don&amp;#39;t understand. If I copy and past all my components in a new NodeXL file, it does the same. What can I do ? &lt;br&gt;2- For filter my network, I use the dynamic filter option, which is very useful. But I don&amp;#39;t understand the fonction of the dynamic filter column. It has been automatically fulfilled with &amp;quot;FAUX&amp;quot; or &amp;quot;VRAI&amp;quot;, and I don&amp;#39;t understand the logical here either... I can change from FAUX to VRAI and vice versa but I don&amp;#39;t know what it means. &lt;br&gt;I hope my issues are clearly explained... Thanks so much for helping, &lt;br&gt;ÉS</t>
  </si>
  <si>
    <t>Hello Dr. Cook, &lt;br&gt;May I know whether NodeXL still supports twitter? I have the Pro version of it. And it seems like the Twitter Users Network function only imports my followers and people I follow. There is no edge between any other nodes. I clicked on &amp;quot;plus friends and followers&amp;quot;. And according to the image on the right, it should be exactly what I&amp;#39;m looking for. May I know whether you have also encountered this? And if so, what are some good solutions? Thanks a million!</t>
  </si>
  <si>
    <t>Thank you very much Dr. Cook! This video was very useful! I&amp;#39;m currently using Node XL Pro for analysing a network for my master thesis in Communication and Media Research at the University of Fribourg (CH)! I wanted to use both Node XL Pro and Gephi to do my analysis but maybe I don&amp;#39;t need Gephi now that I&amp;#39;ve understood Node XL Pro better, thank you!</t>
  </si>
  <si>
    <t>Thanks James, you&amp;#39;re life saver for sure. &lt;a href="http://www.youtube.com/results?search_query=%23BestTeacherIndeed"&gt;#BestTeacherIndeed&lt;/a&gt;</t>
  </si>
  <si>
    <t>Thank you, that was very helpful _xD83D__xDE4F__xD83D__xDC4D_</t>
  </si>
  <si>
    <t>thx a lot,was really informative.</t>
  </si>
  <si>
    <t>this is very helpful! thankyou</t>
  </si>
  <si>
    <t>Try just closing down and reopening your NodeXL file.</t>
  </si>
  <si>
    <t>@James Cook it didn&amp;#39;t work. I figured it out though! Went to the &amp;quot;view&amp;quot; ribbon and selected the &amp;quot;document actions&amp;quot; button. It doesnt sound related at all but it worked!</t>
  </si>
  <si>
    <t>I accidentally x&amp;#39;d out of the graph. How do I make it reappear?</t>
  </si>
  <si>
    <t>I WATCH THIS ON 2021, AND IT IS STILL USEFULL. THANKS MAN</t>
  </si>
  <si>
    <t>Hello, Amina!  I’m not quite sure exactly what’s going on with your data, but if Vertex 2 is blank, then you indeed won’t have a tie described, because you need information regarding two Vertices — Vertex 1 AND Vertex 2 — to characterize a tie. I’m not an employee of NodeXL, so I don’t know quite what might be going on with your data. However, if you would like to send me an email with some screen captures of what you’re doing or the actual NodeXL data sheet, I would be glad to take a look.  My email address is james.m.cook@&lt;a href="http://maine.edu/"&gt;maine.edu&lt;/a&gt;.</t>
  </si>
  <si>
    <t>Hi James, I&amp;#39;m getting an error message for edges data where the Vertex 2 column is blank - your graph shows outliers so not sure why Nodexl isn&amp;#39;t allowing me to have data to represent outliers?</t>
  </si>
  <si>
    <t>Thank you so much for the video! Very detailed and clear</t>
  </si>
  <si>
    <t>After 9 years, this video is still helpful. Thank you so much, you save my academic life!</t>
  </si>
  <si>
    <t>Great resource for those just getting started with NodeXL. Thanks very much for posting!</t>
  </si>
  <si>
    <t>Thank you for the video</t>
  </si>
  <si>
    <t>Thank you guys, excellent Job</t>
  </si>
  <si>
    <t>can we build a weight edged graph with nodeXL?</t>
  </si>
  <si>
    <t>not free, not open source though....</t>
  </si>
  <si>
    <t>Hi Avkash!&lt;br&gt;&lt;br&gt;I was wondering if you could tell me how to filter tweets by country in Nodexl. Ex: &lt;a href="http://www.youtube.com/results?search_query=%23adidas"&gt;#adidas&lt;/a&gt; tweets from Mexico only... ?&lt;br&gt;&lt;br&gt;Thanks!</t>
  </si>
  <si>
    <t>Hi Dr. Cook, &lt;br&gt;&lt;br&gt;I was wondering if you can tell me how to filter tweets by region in Nodexl. Ex: &lt;a href="http://www.youtube.com/results?search_query=%23adidas"&gt;#adidas&lt;/a&gt; tweets from Mexico only...?&lt;br&gt;&lt;br&gt;Thank you!</t>
  </si>
  <si>
    <t>Hi there!&lt;br&gt;&lt;br&gt;I was wondering if you could tell me how to filter tweets by country in Nodexl. Ex: &lt;a href="http://www.youtube.com/results?search_query=%23adidas"&gt;#adidas&lt;/a&gt; tweets from Mexico only... ?&lt;br&gt;&lt;br&gt;Thanks!</t>
  </si>
  <si>
    <t>get a real mic you moron, you tie everything you say into a huge web of absolutely garbage, glad your not a teacher, i could tie this all up in 5 minutes cause i know how to make a VIDEO work for me, you stand there with a pencil up your ass... fawk your anoying, i gotta go&lt;br&gt;oh, go fuck yourself</t>
  </si>
  <si>
    <t>Poor sound quality.</t>
  </si>
  <si>
    <t>Dear Miss Davids, I&amp;#39;m not a representative of either Microsoft or the folks who make NodeXL, and they&amp;#39;d be the best folks to ask.  However, I can say from experience that this has happened to my students when one of three things has happened: 1) they&amp;#39;ve got a lot of programs running on their computer or their computer has been booted for a long time and there isn&amp;#39;t a lot of memory available,  2) they&amp;#39;ve had Microsoft Office programs open for a long time and that particular suite of programs has become sluggish, or 3) they&amp;#39;re not working with a full and recent Microsoft Office suite of programs on a Windows machine, but instead are working with an Apple operating system or a less-costly version of Microsoft Office that doesn&amp;#39;t offer full features.  Do any of these apply to your situation?  #1 and #2 can be easily fixed by restarting your program or computer.  #3?  Eh, not so easy -- it&amp;#39;s one of the downsides of NodeXL.</t>
  </si>
  <si>
    <t>i have downloaded and using nodexl basic but the graph visualization is not displaying on the right at all. can anyone please assist me how i get the graph to display. thanks</t>
  </si>
  <si>
    <t>i have been trying for hours to activate it it keeps giving me pop up messages about entering a license received via email which i have not received and cannot proceed</t>
  </si>
  <si>
    <t>my graph is not appearing on the right</t>
  </si>
  <si>
    <t>Not hard at all.  It&amp;#39;s node shape 11 in the node shape column.</t>
  </si>
  <si>
    <t>Good moring, how do I can insert image intoa node?</t>
  </si>
  <si>
    <t>Good moring, how do I can insert image into a node?</t>
  </si>
  <si>
    <t>Thanks a lot for your validations, Please find more contents in &lt;a href="http://vivianfrancos.com/"&gt;vivianfrancos.com&lt;/a&gt;</t>
  </si>
  <si>
    <t>Thanks in a million. Great content. Awesome. Very well explained. I couldn&amp;#39;t find this explanation--simply put anywhere else. Great teachers are hard to find. Grade: A++_xD83D__xDCA5_</t>
  </si>
  <si>
    <t>Thanks in a million. You got the best stuff on earth! Where have you been all these years.</t>
  </si>
  <si>
    <t>Thanks in a million! Very well explained. Great product second to none. This is the nth time that I am watching this again. Great content. Awesome. Grade: A++ _xD83D__xDCA5_</t>
  </si>
  <si>
    <t>Great job but not a good sound quality</t>
  </si>
  <si>
    <t>Here is the actual picture in google drive&lt;br&gt;&lt;br&gt;&lt;a href="https://drive.google.com/file/d/1PbtSxb9-HpDzskfSC5qh5BHOzSlGEPPF/view?usp=sharing"&gt;https://drive.google.com/file/d/1PbtSxb9-HpDzskfSC5qh5BHOzSlGEPPF/view?usp=sharing&lt;/a&gt;</t>
  </si>
  <si>
    <t>more info from&lt;br&gt;&lt;br&gt;&lt;a href="https://fierbmi.com/"&gt;https://fierbmi.com/&lt;/a&gt;</t>
  </si>
  <si>
    <t>link to gephi file&lt;br&gt;&lt;br&gt;&lt;a href="https://drive.google.com/open?id=1dAYfGszD6TI7S6I0vyZt419CBPZe2lwU"&gt;https://drive.google.com/open?id=1dAYfGszD6TI7S6I0vyZt419CBPZe2lwU&lt;/a&gt;</t>
  </si>
  <si>
    <t>Here the original dataset&lt;br&gt;&lt;br&gt;&lt;a href="http://www.nodexlgraphgallery.org/Pages/Graph.aspx?graphID=224174"&gt;http://www.nodexlgraphgallery.org/Pages/Graph.aspx?graphID=224174&lt;/a&gt;</t>
  </si>
  <si>
    <t>My Twitter account. I post a lot stuff like this there&lt;br&gt;&lt;br&gt;&lt;a href="https://twitter.com/mihkal"&gt;https://twitter.com/mihkal&lt;/a&gt;</t>
  </si>
  <si>
    <t>This video lacks the part where nodexl workbook data is exported to gexf. &lt;br&gt;it is simple task. Export menu | GEXF</t>
  </si>
  <si>
    <t>Thanks for this video!
Your viewers may find it useful to download data sets for NodeXL from the NodeXL Graph Gallery.
This reduces the time needed to download a large dataset.  The gallery also features some useful examples of how to best visualize a network.  You can download the machine readable instructions for creating many of the networks you see in the gallery by clicking the link: &amp;quot;Download the NodeXL Options Used to Create the Graph&amp;quot;.</t>
  </si>
  <si>
    <t>@Marc Smith explains social network analysis in this chat with social media metrics students at the University of Nebraska at Omaha.</t>
  </si>
  <si>
    <t>ENLACE PARA TRADUCIR TEXTO DEL VIDEO  &lt;a href="https://docs.google.com/document/d/1GdYAVkfBXcNrpG_b_EAZwHldbSvUpY3GFjEESWu474c/edit?usp=sharing"&gt;https://docs.google.com/document/d/1GdYAVkfBXcNrpG_b_EAZwHldbSvUpY3GFjEESWu474c/edit?usp=sharing&lt;/a&gt;</t>
  </si>
  <si>
    <t>Have a request for the next &amp;quot;NodeXL Weather Report&amp;quot;?</t>
  </si>
  <si>
    <t>&lt;a href="https://www.amazon.com.br/s?i=stripbooks&amp;amp;rh=n%3A6740748011%2Cp_lbr_books_authors_browse-bin%3ATulio+Kahn&amp;amp;s=date-desc-rank&amp;amp;qid=1637233274&amp;amp;ref=sr_pg_1"&gt;https://www.amazon.com.br/s?i=stripbooks&amp;amp;rh=n%3A6740748011%2Cp_lbr_books_authors_browse-bin%3ATulio+Kahn&amp;amp;s=date-desc-rank&amp;amp;qid=1637233274&amp;amp;ref=sr_pg_1&lt;/a&gt;</t>
  </si>
  <si>
    <t>Merhabalar. Node XL ve Sosyal Ağ Analizi konusunda sizlerden mesaj ve yorumlar almaktayım ve ilginize çok teşekkür ederim. Konuya geri dönüş yapmak planlarım arasında olmakla birlikte, bu yakın zamanda olmayacak. Node XL kullanmayı ve bazı temel sosyal ağ analizi kavramlarını öğrenebileceğiniz bir PDF dosyası ayarladım sizler için. İlgili linkten &amp;quot;Node XL ile Ağların Çizimi ve Analizi&amp;quot; isimli PDF doyasına ulaşabilirsiniz. Bu dosya umarım işinizi görür ve daha iyi çalışmalar yapmanıza olanak tanır. Teşekkürler.&lt;br&gt;&lt;br&gt;Node XL ile Ağların Çizimi ve Analizi&lt;br&gt;&lt;br&gt;&lt;a href="https://drive.google.com/file/d/1setCSR5TRFgLAsY6IIbyKG9_eT02Ay5C/view?usp=sharing"&gt;https://drive.google.com/file/d/1setCSR5TRFgLAsY6IIbyKG9_eT02Ay5C/view?usp=sharing&lt;/a&gt;</t>
  </si>
  <si>
    <t>Plot NodeXL location data on a PowerMap &lt;br&gt;From NodeXL &lt;b&gt;Edges&lt;/b&gt; worksheet: Insert -&amp;gt; 3D Map &lt;br&gt;PowerMap automatically recognizes geographic data present. &lt;br&gt;You can add other columns. &lt;br&gt;It generates a 3d world map of the location of Tweets (that have location data).</t>
  </si>
  <si>
    <t xml:space="preserve">NodeXL Tip: You can list all edges first and NodeXL will populate the Vertices list automatically. </t>
  </si>
  <si>
    <t>Thanks for the tip, Marc!  NB: Marc Smith is a NodeXL superstar.  We have him to thank for this excellent open source social network resource.</t>
  </si>
  <si>
    <t>KC, thanks for the comments.  Instead of looking for ONE tool that does everything you want, consider the possibility of taking each package&amp;#39;s strength and stitching them together.  For dynamic filtering and visualization, consider NodeXL or Gephi.  For analysis, consider network analysis in R, or, if you&amp;#39;re looking for a ready-to-go package with a good number of analytic tools, check out UCINET.</t>
  </si>
  <si>
    <t>Update: this guide is old (more than 3 years old), so the link to download has changed.  Try here instead: &lt;a href="https://www.smrfoundation.org/nodexl/installation/"&gt;https://www.smrfoundation.org/nodexl/installation/&lt;/a&gt;</t>
  </si>
  <si>
    <t>se escucha de lo peor</t>
  </si>
  <si>
    <t>Alessandro Castaldo</t>
  </si>
  <si>
    <t>Chong Jin Lee</t>
  </si>
  <si>
    <t>Kurt Venzon</t>
  </si>
  <si>
    <t>Madhavan Sriram</t>
  </si>
  <si>
    <t>Amol Gupta</t>
  </si>
  <si>
    <t>Gilles Havik</t>
  </si>
  <si>
    <t>Rupsayar Das</t>
  </si>
  <si>
    <t>Wegdan Abdulqader</t>
  </si>
  <si>
    <t>C M</t>
  </si>
  <si>
    <t>Fredi Anriko</t>
  </si>
  <si>
    <t>Kevin Hodgson</t>
  </si>
  <si>
    <t>Em Cooper</t>
  </si>
  <si>
    <t>Vivian Francos #SeoHashtag Posiciona tu Hashtag</t>
  </si>
  <si>
    <t>Eva Añón</t>
  </si>
  <si>
    <t>Mika Laiti</t>
  </si>
  <si>
    <t>Alex Fenton</t>
  </si>
  <si>
    <t>Dogface Reilly</t>
  </si>
  <si>
    <t>Eutiquio Chapa</t>
  </si>
  <si>
    <t>Ngoc Phuong Chau</t>
  </si>
  <si>
    <t>prodfranciscan</t>
  </si>
  <si>
    <t>Rachit Gupta</t>
  </si>
  <si>
    <t>Tamer Taha</t>
  </si>
  <si>
    <t>Daniel Ayala Quispe</t>
  </si>
  <si>
    <t>rapidminerprojects iran</t>
  </si>
  <si>
    <t>Yahaya Musa Kayode</t>
  </si>
  <si>
    <t>Arvind Goyal</t>
  </si>
  <si>
    <t>M</t>
  </si>
  <si>
    <t>Rosalie Aguilar</t>
  </si>
  <si>
    <t>seemel akhtar</t>
  </si>
  <si>
    <t>Christina Cha</t>
  </si>
  <si>
    <t>James Cook</t>
  </si>
  <si>
    <t>Petru Dumitru</t>
  </si>
  <si>
    <t>Μιχαήλ Πουλιάσης</t>
  </si>
  <si>
    <t>Alicia Bernal</t>
  </si>
  <si>
    <t>ali [علي] 阿里 Maksum</t>
  </si>
  <si>
    <t>Agung Purnomo</t>
  </si>
  <si>
    <t>dinda futhikhumaira</t>
  </si>
  <si>
    <t>Fond Thinker</t>
  </si>
  <si>
    <t>Zahed Arman</t>
  </si>
  <si>
    <t>Jeffrey Anthony</t>
  </si>
  <si>
    <t>sarvanimaheedhara</t>
  </si>
  <si>
    <t>Klinger Lima</t>
  </si>
  <si>
    <t>Max Stabile</t>
  </si>
  <si>
    <t>Michel Oliveira</t>
  </si>
  <si>
    <t>SuperMarioVT</t>
  </si>
  <si>
    <t>André Jakob</t>
  </si>
  <si>
    <t>Bruno VP</t>
  </si>
  <si>
    <t>gustavo camargos</t>
  </si>
  <si>
    <t>Moisés Guimarães</t>
  </si>
  <si>
    <t>Cassio Menezes</t>
  </si>
  <si>
    <t>Elize Jacinto</t>
  </si>
  <si>
    <t>Nhi Trần</t>
  </si>
  <si>
    <t>Gregor Leban</t>
  </si>
  <si>
    <t>Danny Sheridan</t>
  </si>
  <si>
    <t>Kirk Richardson</t>
  </si>
  <si>
    <t>S.S V</t>
  </si>
  <si>
    <t>DWI SETYO AJI</t>
  </si>
  <si>
    <t>Maryam Zolnoori</t>
  </si>
  <si>
    <t>Juliana T.</t>
  </si>
  <si>
    <t>Ciro Trejo Moya</t>
  </si>
  <si>
    <t>Digital Bradford</t>
  </si>
  <si>
    <t>shahilagh</t>
  </si>
  <si>
    <t>Jose Tijerino</t>
  </si>
  <si>
    <t>Mustafa POLAT</t>
  </si>
  <si>
    <t>Growing World</t>
  </si>
  <si>
    <t>JOSEPH FAYESE</t>
  </si>
  <si>
    <t>kester ratcliff</t>
  </si>
  <si>
    <t>Digonto Sky</t>
  </si>
  <si>
    <t>Neeraj Pandey</t>
  </si>
  <si>
    <t>Melanie Espino</t>
  </si>
  <si>
    <t>habitMi</t>
  </si>
  <si>
    <t>Kaliisa Rogers</t>
  </si>
  <si>
    <t>Ana Paula Teixeira</t>
  </si>
  <si>
    <t>Sümeyra Yılmaz</t>
  </si>
  <si>
    <t>sumeyye aktepe</t>
  </si>
  <si>
    <t>Buracademy</t>
  </si>
  <si>
    <t>ünzile yeşil</t>
  </si>
  <si>
    <t>Erkan</t>
  </si>
  <si>
    <t>sümeyye çelik</t>
  </si>
  <si>
    <t>Özgür Ağrali</t>
  </si>
  <si>
    <t>Ayşen Özenir</t>
  </si>
  <si>
    <t>Srazi Abbas</t>
  </si>
  <si>
    <t>Ezio Alves</t>
  </si>
  <si>
    <t>Fissle Wine</t>
  </si>
  <si>
    <t>Michelle Molina</t>
  </si>
  <si>
    <t>Christian Caldwell</t>
  </si>
  <si>
    <t>nattakan iusakul</t>
  </si>
  <si>
    <t>Yusufil Akbar</t>
  </si>
  <si>
    <t>SABARIHA BINTI CHE HUSSIN</t>
  </si>
  <si>
    <t>Juliana Maria Trammel</t>
  </si>
  <si>
    <t>Niko Feng</t>
  </si>
  <si>
    <t>Shaun Kellogg</t>
  </si>
  <si>
    <t>Ravikant K</t>
  </si>
  <si>
    <t>visca moudy</t>
  </si>
  <si>
    <t>AGray Gray</t>
  </si>
  <si>
    <t>Jasminka Kovačević</t>
  </si>
  <si>
    <t>Fevzi Cankurtaran</t>
  </si>
  <si>
    <t>Kalt Gruen</t>
  </si>
  <si>
    <t>Oscar</t>
  </si>
  <si>
    <t>ISP3026</t>
  </si>
  <si>
    <t>Burcu Bostan</t>
  </si>
  <si>
    <t>B C</t>
  </si>
  <si>
    <t>Kaan</t>
  </si>
  <si>
    <t>Sezgin Durmuş</t>
  </si>
  <si>
    <t>caner canbir</t>
  </si>
  <si>
    <t>Mustafa Mustex</t>
  </si>
  <si>
    <t>cellofeldy</t>
  </si>
  <si>
    <t>Nils Finholt</t>
  </si>
  <si>
    <t>Marlisa Kurniati</t>
  </si>
  <si>
    <t>Filippos Dizen</t>
  </si>
  <si>
    <t>Lorena m s</t>
  </si>
  <si>
    <t>Marc Smith</t>
  </si>
  <si>
    <t>Ikram Khan</t>
  </si>
  <si>
    <t>nogribin</t>
  </si>
  <si>
    <t>Pembudayaan Digital Pulau Pinang</t>
  </si>
  <si>
    <t>imam riauan</t>
  </si>
  <si>
    <t>Najm Abed Khalaf Aleessawi</t>
  </si>
  <si>
    <t>المجلة العلمية</t>
  </si>
  <si>
    <t>a,o</t>
  </si>
  <si>
    <t>Thanos Panagouleas</t>
  </si>
  <si>
    <t>Alexander Sharma</t>
  </si>
  <si>
    <t>TheRaph75</t>
  </si>
  <si>
    <t>James Strawn</t>
  </si>
  <si>
    <t>OdiProfanumVulgus</t>
  </si>
  <si>
    <t>Elena Kochetkova</t>
  </si>
  <si>
    <t>Sonic-Fan-Play</t>
  </si>
  <si>
    <t>Leset</t>
  </si>
  <si>
    <t>Sarah Tabit</t>
  </si>
  <si>
    <t>Socorro López Vázquez</t>
  </si>
  <si>
    <t>Derek Caelin</t>
  </si>
  <si>
    <t>Ella S Prihatini</t>
  </si>
  <si>
    <t>Ahmed Ashour</t>
  </si>
  <si>
    <t>Antonio Alifano</t>
  </si>
  <si>
    <t>Selma Bonifacio</t>
  </si>
  <si>
    <t>sank raf</t>
  </si>
  <si>
    <t>Lilo Nguyen</t>
  </si>
  <si>
    <t>Shugufta Wani</t>
  </si>
  <si>
    <t>이가윤</t>
  </si>
  <si>
    <t>Dae</t>
  </si>
  <si>
    <t>kanwal ahmad</t>
  </si>
  <si>
    <t>Aneta Bartůňková</t>
  </si>
  <si>
    <t>bin gaeedi</t>
  </si>
  <si>
    <t>Sarath Mohan</t>
  </si>
  <si>
    <t>Darlan Kafeltz</t>
  </si>
  <si>
    <t>meredian alam</t>
  </si>
  <si>
    <t>Rise Above Promotions</t>
  </si>
  <si>
    <t>Belle Li</t>
  </si>
  <si>
    <t>Sean Lynch</t>
  </si>
  <si>
    <t>Fabrice Frossard</t>
  </si>
  <si>
    <t>Mridul Gupta</t>
  </si>
  <si>
    <t>Luxmi Verma</t>
  </si>
  <si>
    <t>Dan Nunya</t>
  </si>
  <si>
    <t>Nour Abuhadra</t>
  </si>
  <si>
    <t>Giada Calamai</t>
  </si>
  <si>
    <t>Emmanuel Nwofe</t>
  </si>
  <si>
    <t>Lena glt</t>
  </si>
  <si>
    <t>Marah Archer</t>
  </si>
  <si>
    <t>Gillian Casten</t>
  </si>
  <si>
    <t>Elodie Salmon</t>
  </si>
  <si>
    <t>Rich L</t>
  </si>
  <si>
    <t>Rashed N</t>
  </si>
  <si>
    <t>Kuba Dusza</t>
  </si>
  <si>
    <t>venkat jagadeesh</t>
  </si>
  <si>
    <t>Gladisti Geraldia</t>
  </si>
  <si>
    <t>Robin Nilsson</t>
  </si>
  <si>
    <t>20-018-StefanusLau</t>
  </si>
  <si>
    <t>Amina Gomri</t>
  </si>
  <si>
    <t>Linh Hiền</t>
  </si>
  <si>
    <t>Đức Nguyễn</t>
  </si>
  <si>
    <t>DrWhiteChocolateNRok</t>
  </si>
  <si>
    <t>Majestic005</t>
  </si>
  <si>
    <t>Suchetana Gupta</t>
  </si>
  <si>
    <t>open-ecommerce.org</t>
  </si>
  <si>
    <t>Alfonso Flores</t>
  </si>
  <si>
    <t>Dwayne Harvey</t>
  </si>
  <si>
    <t>Dan McCreary</t>
  </si>
  <si>
    <t>Empress Chariot</t>
  </si>
  <si>
    <t>Felipe Ribeiro</t>
  </si>
  <si>
    <t>John G</t>
  </si>
  <si>
    <t>Sadiq A</t>
  </si>
  <si>
    <t>Jeremy Harris Lipschultz</t>
  </si>
  <si>
    <t>Tulio Kahn</t>
  </si>
  <si>
    <t>Gustavo Moreno</t>
  </si>
  <si>
    <t>Ugg6wDyPqW_12ngCoAEC</t>
  </si>
  <si>
    <t>UgxR9Ql4a93_SIC-BNx4AaABAg</t>
  </si>
  <si>
    <t>UgwoWkJPUeRcf8htcKR4AaABAg</t>
  </si>
  <si>
    <t>Ugz6IH6qHiKDI-D4KvN4AaABAg</t>
  </si>
  <si>
    <t>UgjWD8cNubbsdHgCoAEC</t>
  </si>
  <si>
    <t>Ugj7qltlvCkU5XgCoAEC</t>
  </si>
  <si>
    <t>UgwumINODDc_l1ragCl4AaABAg</t>
  </si>
  <si>
    <t>UghgU3_GX8nRnngCoAEC</t>
  </si>
  <si>
    <t>UgzTxYmvboeRWeWUopF4AaABAg</t>
  </si>
  <si>
    <t>Ugw82uvq2WwXsJNkNe54AaABAg</t>
  </si>
  <si>
    <t>UgxYUzqtN3NCCtXTapZ4AaABAg</t>
  </si>
  <si>
    <t>Ugyrqnf8LZWHUYRwKiJ4AaABAg</t>
  </si>
  <si>
    <t>UgifF8TqLqyg_3gCoAEC</t>
  </si>
  <si>
    <t>UgjUQsL8290inngCoAEC</t>
  </si>
  <si>
    <t>UggQXnyZNDpSGXgCoAEC</t>
  </si>
  <si>
    <t>UgirV-DDfVYSB3gCoAEC</t>
  </si>
  <si>
    <t>UgjqFt8feDH0mHgCoAEC</t>
  </si>
  <si>
    <t>UgxYLs8W-8yNkOdYPrV4AaABAg</t>
  </si>
  <si>
    <t>Ugh1guaSjMdvpXgCoAEC</t>
  </si>
  <si>
    <t>UgibY0BOAVLR33gCoAEC</t>
  </si>
  <si>
    <t>UgxyM85EsIWIsu2e85J4AaABAg</t>
  </si>
  <si>
    <t>UgzW5mmanrSbF70cVX54AaABAg</t>
  </si>
  <si>
    <t>UgyY-471aqOucVMavT54AaABAg</t>
  </si>
  <si>
    <t>Ugjd4n-S0eHX23gCoAEC</t>
  </si>
  <si>
    <t>UggtoHb3Y2R5-ngCoAEC</t>
  </si>
  <si>
    <t>UgyCVYSA068GO9AIJOF4AaABAg</t>
  </si>
  <si>
    <t>Ugx8SZT2gQweZ_BjFbx4AaABAg</t>
  </si>
  <si>
    <t>UgxVHioXgWmg6uzyuEt4AaABAg</t>
  </si>
  <si>
    <t>UgxAhRAFDxIv6pA8KA14AaABAg</t>
  </si>
  <si>
    <t>UggQYUbwQ53QkHgCoAEC</t>
  </si>
  <si>
    <t>Ugg5GL5eGQVeDHgCoAEC</t>
  </si>
  <si>
    <t>Ugx7BTPhMCHHGhNpJ-F4AaABAg</t>
  </si>
  <si>
    <t>UgzhlFPwcgyhRwrtmn94AaABAg</t>
  </si>
  <si>
    <t>Ugxpp9q7RY6dIqFJpKd4AaABAg</t>
  </si>
  <si>
    <t>UgxfN_fy2eIJt1LKN814AaABAg</t>
  </si>
  <si>
    <t>UgxrKkvOyPZPKrtL5Qx4AaABAg</t>
  </si>
  <si>
    <t>UgjxSl3xBT3Bw3gCoAEC</t>
  </si>
  <si>
    <t>UghPezZiqsUaIXgCoAEC</t>
  </si>
  <si>
    <t>UghciJ0OgAnM7XgCoAEC</t>
  </si>
  <si>
    <t>Ugj1z4qym4XX13gCoAEC</t>
  </si>
  <si>
    <t>UgijL0mmKttMo3gCoAEC</t>
  </si>
  <si>
    <t>UgglV6t1rOoKAngCoAEC</t>
  </si>
  <si>
    <t>UgjbVu5aRVHxUHgCoAEC</t>
  </si>
  <si>
    <t>UgjhDlrOuztNEngCoAEC</t>
  </si>
  <si>
    <t>UggypM6ymR9-YXgCoAEC</t>
  </si>
  <si>
    <t>Ugi6RvNXtTzNW3gCoAEC</t>
  </si>
  <si>
    <t>UgjbDm4LAgJ_4ngCoAEC</t>
  </si>
  <si>
    <t>UggkLAE60L1w0ngCoAEC</t>
  </si>
  <si>
    <t>Ugglmql1Nc0OV3gCoAEC</t>
  </si>
  <si>
    <t>UgwHD6S1yvKN2VTolhB4AaABAg</t>
  </si>
  <si>
    <t>Ugy90ELdOflQDjLz6LB4AaABAg</t>
  </si>
  <si>
    <t>UgzDL7pmu1zHpkOXGrR4AaABAg</t>
  </si>
  <si>
    <t>UgwlyCZUCxnxBjbLfol4AaABAg</t>
  </si>
  <si>
    <t>UgyndlUWvHnhc29lHfZ4AaABAg</t>
  </si>
  <si>
    <t>hN3-wTOxrsY</t>
  </si>
  <si>
    <t>PmDKuAnKiGA</t>
  </si>
  <si>
    <t>hTnnEnpQkkk</t>
  </si>
  <si>
    <t>5_mfdaFBRy4</t>
  </si>
  <si>
    <t>0M3T65Iw3Ac</t>
  </si>
  <si>
    <t>3s6qbWY07FI</t>
  </si>
  <si>
    <t>o-D-Duv8Mcs</t>
  </si>
  <si>
    <t>39yXz72qdow</t>
  </si>
  <si>
    <t>vp7VXgvVAPg</t>
  </si>
  <si>
    <t>hVfI1U7uHR4</t>
  </si>
  <si>
    <t>bCENPBWjEaE</t>
  </si>
  <si>
    <t>x9IzmOWAlnA</t>
  </si>
  <si>
    <t>WHociTCrX48</t>
  </si>
  <si>
    <t>aJuHtKjYySE</t>
  </si>
  <si>
    <t>ZYLWHRa8Et4</t>
  </si>
  <si>
    <t>1VVN0ZlxXmI</t>
  </si>
  <si>
    <t>lbb2lMCSg64</t>
  </si>
  <si>
    <t>1yCjhTuLA1o</t>
  </si>
  <si>
    <t>AyMwPYpmYng</t>
  </si>
  <si>
    <t>tzkLBf9t7MY</t>
  </si>
  <si>
    <t>zMlwGOki4Yg</t>
  </si>
  <si>
    <t>GYSgH1g_YQI</t>
  </si>
  <si>
    <t>_ci5QaUkAfw</t>
  </si>
  <si>
    <t>yknqOhpUtzQ</t>
  </si>
  <si>
    <t>TrCcbMEkJM0</t>
  </si>
  <si>
    <t>0snyC8fNhXo</t>
  </si>
  <si>
    <t>CwQ8IrHZDgA</t>
  </si>
  <si>
    <t>t8YHRVf60BU</t>
  </si>
  <si>
    <t>owl9we4ldFI</t>
  </si>
  <si>
    <t>mjAq8eA7uOM</t>
  </si>
  <si>
    <t>leNjC1CQiow</t>
  </si>
  <si>
    <t>-dB0rwt6_U8</t>
  </si>
  <si>
    <t>xKhYGRpbwOc</t>
  </si>
  <si>
    <t>l0n5rKT0ztI</t>
  </si>
  <si>
    <t>o53sJ939r7A</t>
  </si>
  <si>
    <t>08MqGSL9TNQ</t>
  </si>
  <si>
    <t>THdrju-UWjo</t>
  </si>
  <si>
    <t>Gs4NPuKIXdo</t>
  </si>
  <si>
    <t>zEgrruOITHw</t>
  </si>
  <si>
    <t>PC-PgkhpsNc</t>
  </si>
  <si>
    <t>DfVp1zDYNLg</t>
  </si>
  <si>
    <t>pwsImFyc0lE</t>
  </si>
  <si>
    <t>3x-TXaTF3-Y</t>
  </si>
  <si>
    <t>8lDndBPEDj4</t>
  </si>
  <si>
    <t>qYS-obITp8U</t>
  </si>
  <si>
    <t>AAk39e00SlY</t>
  </si>
  <si>
    <t>vi01cIzeiqw</t>
  </si>
  <si>
    <t>XmBgsR82uPo</t>
  </si>
  <si>
    <t>8cNW3OD6I0o</t>
  </si>
  <si>
    <t>V5J2bUOoNh8</t>
  </si>
  <si>
    <t>R544_0CS46g</t>
  </si>
  <si>
    <t>imzmS6mzOws</t>
  </si>
  <si>
    <t>mGfzlUpCpxw</t>
  </si>
  <si>
    <t>M-7plTokyJ4</t>
  </si>
  <si>
    <t>fhuWyA2B_m4</t>
  </si>
  <si>
    <t>Ec0agEZ557k</t>
  </si>
  <si>
    <t>PbYZl4BZjJ8</t>
  </si>
  <si>
    <t>6syIwTVbrt0</t>
  </si>
  <si>
    <t>4joYD7ye-R0</t>
  </si>
  <si>
    <t>ETE3foyjx_E</t>
  </si>
  <si>
    <t>IUlPHNXUDFI</t>
  </si>
  <si>
    <t>WoFbiZxNGt4</t>
  </si>
  <si>
    <t>MtpFeGA-57Y</t>
  </si>
  <si>
    <t>zg1s4bF59Ss</t>
  </si>
  <si>
    <t>gYfi-UXg0RE</t>
  </si>
  <si>
    <t>BYS8gVQMH7I</t>
  </si>
  <si>
    <t>yMCTnhBUpOg</t>
  </si>
  <si>
    <t>jBXGN265uPI</t>
  </si>
  <si>
    <t>_LzT3A2_wDA</t>
  </si>
  <si>
    <t>pCYpAmk_2-Y</t>
  </si>
  <si>
    <t>89xmLtfm7G4</t>
  </si>
  <si>
    <t>zkOZhLTTZMU</t>
  </si>
  <si>
    <t>Udl9m3kua9Y</t>
  </si>
  <si>
    <t>kCApYWeu-kE</t>
  </si>
  <si>
    <t>8b-U81FWPI4</t>
  </si>
  <si>
    <t>Ksggp3-Grdo</t>
  </si>
  <si>
    <t>JWbyuFZSm2Y</t>
  </si>
  <si>
    <t>Cp5dejUrVUE</t>
  </si>
  <si>
    <t>GDEZBIXOz_c</t>
  </si>
  <si>
    <t>9YcbpzQ3f8I</t>
  </si>
  <si>
    <t>loKrwwx7OWQ</t>
  </si>
  <si>
    <t>gv96pG-FpNs</t>
  </si>
  <si>
    <t>EEZfb4WC_uE</t>
  </si>
  <si>
    <t>jUz1XgQaXVE</t>
  </si>
  <si>
    <t>Y_20YJMfpWE</t>
  </si>
  <si>
    <t>D2yECwk_gq8</t>
  </si>
  <si>
    <t>5qNwGSCUqHo</t>
  </si>
  <si>
    <t>4ae-mqDr7co</t>
  </si>
  <si>
    <t>ByE9IG1PtOs</t>
  </si>
  <si>
    <t>GUjqCaLet34</t>
  </si>
  <si>
    <t>b6cQRd_1Umg</t>
  </si>
  <si>
    <t>JiEZOB3VElw</t>
  </si>
  <si>
    <t>SUkcT9CYCMQ</t>
  </si>
  <si>
    <t>lBqT_KdC7YQ</t>
  </si>
  <si>
    <t>none</t>
  </si>
  <si>
    <t xml:space="preserve"> https://vivianfrancos.com/conoce-tus-mapas-de-audiencia-nodexl/ https://vivianfrancos.com/conoce-tus-mapas-de-audiencia-nodexl/</t>
  </si>
  <si>
    <t xml:space="preserve"> http://mihkal.indeedsir.com/isfi/ http://mihkal.indeedsir.com/isfi/</t>
  </si>
  <si>
    <t xml:space="preserve"> https://www.youtube.com/watch?v=o-D-Duv8Mcs&amp;amp;t=10m24s https://www.youtube.com/watch?v=o-D-Duv8Mcs&amp;amp;t=18m26s https://www.youtube.com/watch?v=o-D-Duv8Mcs&amp;amp;t=09m51s</t>
  </si>
  <si>
    <t xml:space="preserve"> http://www.youtube.com/watch?v=39yXz72qdow&amp;amp;t=4m08s</t>
  </si>
  <si>
    <t xml:space="preserve"> https://www.connectedaction.net/new-nodexl-updates-twitter-user-and-list-importer/ https://www.connectedaction.net/new-nodexl-updates-twitter-user-and-list-importer/</t>
  </si>
  <si>
    <t xml:space="preserve"> http://developer.twitter.com/</t>
  </si>
  <si>
    <t xml:space="preserve"> http://maine.edu/</t>
  </si>
  <si>
    <t xml:space="preserve"> http://blog.ibpad.com.br</t>
  </si>
  <si>
    <t xml:space="preserve"> https://www.peteraldhous.com/CAR/NodeXL_CAR2012.pdf https://www.peteraldhous.com/CAR/NodeXL_CAR2012.pdf</t>
  </si>
  <si>
    <t xml:space="preserve"> http://www.nodexlgraphgallery.org/Pages/Graph.aspx?graphID=57173 http://www.nodexlgraphgallery.org/Pages/Graph.aspx?graphID=57173</t>
  </si>
  <si>
    <t xml:space="preserve"> https://nodexl.codeplex.com/ https://nodexl.codeplex.com https://archive.codeplex.com/?p=nodexl https://archive.codeplex.com/?p=nodexl</t>
  </si>
  <si>
    <t xml:space="preserve"> https://www.nodexlgraphgallery.org/Pages/Registration.aspx https://www.nodexlgraphgallery.org/Pages/Registration.aspx</t>
  </si>
  <si>
    <t xml:space="preserve"> http://download.cnet.com/NodeXL/3001-2077_4-10967171.html http://download.cnet.com/NodeXL/3001-2077_4-10967171.html http://nodexl.codeplex.com/</t>
  </si>
  <si>
    <t xml:space="preserve"> http://www.youtube.com/results?search_query=%23m%C3%BClteci</t>
  </si>
  <si>
    <t xml:space="preserve"> http://www.amazon.com/Analyzing-Social-Media-Networks-NodeXL/dp/0123822297 http://www.amazon.com/Analyzing-Social-Media-Networks-NodeXL/dp/0123822297</t>
  </si>
  <si>
    <t xml:space="preserve"> https://www.smrfoundation.org/2019/09/05/nodexl-pro-facebook-data-importers-no-longer-functional/ https://www.smrfoundation.org/2019/09/05/nodexl-pro-facebook-data-importers-no-longer-functional/</t>
  </si>
  <si>
    <t xml:space="preserve"> https://www.smrfoundation.org/nodexl/installation/ https://www.smrfoundation.org/nodexl/installation/</t>
  </si>
  <si>
    <t xml:space="preserve"> http://smrfoundation.org/ https://nodexlgraphgallery.org/Pages/registration.asp https://nodexlgraphgallery.org/Pages/registration.asp</t>
  </si>
  <si>
    <t xml:space="preserve"> http://www.youtube.com/results?search_query=%23SaveBabakanSiliwangi http://www.youtube.com/results?search_query=%23SaveBabakanSiliwangi http://www.youtube.com/results?search_query=%23SaveBabakanSiliwangi</t>
  </si>
  <si>
    <t xml:space="preserve"> http://www.youtube.com/results?search_query=%23SaveBabakanSiliwangi http://www.youtube.com/results?search_query=%23SaveBabakan</t>
  </si>
  <si>
    <t xml:space="preserve"> https://nodexlgraphgallery.org/Pages/registration.aspx https://nodexlgraphgallery.org/Pages/registration.aspx</t>
  </si>
  <si>
    <t xml:space="preserve"> https://www.youtube.com/watch?v=lbb2lMCSg64 https://www.youtube.com/watch?v=lbb2lMCSg64</t>
  </si>
  <si>
    <t xml:space="preserve"> http://www.youtube.com/results?search_query=%23love http://www.youtube.com/results?search_query=%23cupcake http://www.youtube.com/results?search_query=%23love</t>
  </si>
  <si>
    <t xml:space="preserve"> http://www.youtube.com/results?search_query=%23BestTeacherIndeed</t>
  </si>
  <si>
    <t xml:space="preserve"> http://www.youtube.com/results?search_query=%23adidas</t>
  </si>
  <si>
    <t xml:space="preserve"> http://vivianfrancos.com/</t>
  </si>
  <si>
    <t xml:space="preserve"> https://drive.google.com/file/d/1PbtSxb9-HpDzskfSC5qh5BHOzSlGEPPF/view?usp=sharing https://drive.google.com/file/d/1PbtSxb9-HpDzskfSC5qh5BHOzSlGEPPF/view?usp=sharing</t>
  </si>
  <si>
    <t xml:space="preserve"> https://fierbmi.com/ https://fierbmi.com/</t>
  </si>
  <si>
    <t xml:space="preserve"> https://drive.google.com/open?id=1dAYfGszD6TI7S6I0vyZt419CBPZe2lwU https://drive.google.com/open?id=1dAYfGszD6TI7S6I0vyZt419CBPZe2lwU</t>
  </si>
  <si>
    <t xml:space="preserve"> http://www.nodexlgraphgallery.org/Pages/Graph.aspx?graphID=224174 http://www.nodexlgraphgallery.org/Pages/Graph.aspx?graphID=224174</t>
  </si>
  <si>
    <t xml:space="preserve"> https://twitter.com/mihkal https://twitter.com/mihkal</t>
  </si>
  <si>
    <t xml:space="preserve"> https://docs.google.com/document/d/1GdYAVkfBXcNrpG_b_EAZwHldbSvUpY3GFjEESWu474c/edit?usp=sharing https://docs.google.com/document/d/1GdYAVkfBXcNrpG_b_EAZwHldbSvUpY3GFjEESWu474c/edit?usp=sharing</t>
  </si>
  <si>
    <t xml:space="preserve"> https://www.amazon.com.br/s?i=stripbooks&amp;amp;rh=n%3A6740748011%2Cp_lbr_books_authors_browse-bin%3ATulio+Kahn&amp;amp;s=date-desc-rank&amp;amp;qid=1637233274&amp;amp;ref=sr_pg_1 https://www.amazon.com.br/s?i=stripbooks&amp;amp;rh=n%3A6740748011%2Cp_lbr_books_authors_browse-bin%3ATulio+Kahn&amp;amp;s=date-desc-rank&amp;amp;qid=1637233274&amp;amp;ref=sr_pg_1</t>
  </si>
  <si>
    <t xml:space="preserve"> https://drive.google.com/file/d/1setCSR5TRFgLAsY6IIbyKG9_eT02Ay5C/view?usp=sharing https://drive.google.com/file/d/1setCSR5TRFgLAsY6IIbyKG9_eT02Ay5C/view?usp=sharing</t>
  </si>
  <si>
    <t>vivianfrancos.com vivianfrancos.com</t>
  </si>
  <si>
    <t>indeedsir.com indeedsir.com</t>
  </si>
  <si>
    <t>youtube.com youtube.com youtube.com</t>
  </si>
  <si>
    <t>youtube.com</t>
  </si>
  <si>
    <t>connectedaction.net connectedaction.net</t>
  </si>
  <si>
    <t>twitter.com</t>
  </si>
  <si>
    <t>maine.edu</t>
  </si>
  <si>
    <t>com.br</t>
  </si>
  <si>
    <t>peteraldhous.com peteraldhous.com</t>
  </si>
  <si>
    <t>nodexlgraphgallery.org nodexlgraphgallery.org</t>
  </si>
  <si>
    <t>codeplex.com codeplex.com codeplex.com codeplex.com</t>
  </si>
  <si>
    <t>cnet.com cnet.com codeplex.com</t>
  </si>
  <si>
    <t>amazon.com amazon.com</t>
  </si>
  <si>
    <t>smrfoundation.org smrfoundation.org</t>
  </si>
  <si>
    <t>smrfoundation.org nodexlgraphgallery.org nodexlgraphgallery.org</t>
  </si>
  <si>
    <t>youtube.com youtube.com</t>
  </si>
  <si>
    <t>vivianfrancos.com</t>
  </si>
  <si>
    <t>google.com google.com</t>
  </si>
  <si>
    <t>fierbmi.com fierbmi.com</t>
  </si>
  <si>
    <t>twitter.com twitter.com</t>
  </si>
  <si>
    <t>com.br com.br</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</si>
  <si>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</si>
  <si>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</si>
  <si>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</si>
  <si>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</si>
  <si>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</si>
  <si>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</si>
  <si>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</si>
  <si>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</si>
  <si>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</si>
  <si>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</si>
  <si>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</si>
  <si>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</si>
  <si>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</si>
  <si>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</si>
  <si>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Larry Lugo</t>
  </si>
  <si>
    <t>Brittany Kubinski</t>
  </si>
  <si>
    <t>Francisco Marco-Serrano</t>
  </si>
  <si>
    <t>Sarah Honeychurch</t>
  </si>
  <si>
    <t>MSRC08</t>
  </si>
  <si>
    <t>Yanu Prasetyo</t>
  </si>
  <si>
    <t>metodologiabrasil</t>
  </si>
  <si>
    <t>Nguyen Pham Dinh Phuc _ K14 FUG CT</t>
  </si>
  <si>
    <t>Talks at Google</t>
  </si>
  <si>
    <t>Matt M</t>
  </si>
  <si>
    <t>Piyush Ramachandran</t>
  </si>
  <si>
    <t>brianbritt87</t>
  </si>
  <si>
    <t>Sosyal Ağ Analizi</t>
  </si>
  <si>
    <t>Mesti Sukses</t>
  </si>
  <si>
    <t>NodeXL</t>
  </si>
  <si>
    <t>Dr Alan Shaw</t>
  </si>
  <si>
    <t>Department of English Language and Literature</t>
  </si>
  <si>
    <t>Avkash Chauhan</t>
  </si>
  <si>
    <t>SMART Social Media Research Techniques</t>
  </si>
  <si>
    <t>Açıköğretim Sistemi - Anadolu Üniversitesi</t>
  </si>
  <si>
    <t>Derek Hansen</t>
  </si>
  <si>
    <t>Le Hoang Tieu Phung _ K14 FUG CT</t>
  </si>
  <si>
    <t>vedium</t>
  </si>
  <si>
    <t>chihsungteng</t>
  </si>
  <si>
    <t>RFL Communications, Inc.</t>
  </si>
  <si>
    <t>Microsoft Research</t>
  </si>
  <si>
    <t>Kasper Deibel</t>
  </si>
  <si>
    <t>Steve Boland</t>
  </si>
  <si>
    <t>Clyde Phelix</t>
  </si>
  <si>
    <t>謝章升</t>
  </si>
  <si>
    <t>Polinode</t>
  </si>
  <si>
    <t>JP de Vries</t>
  </si>
  <si>
    <t>Next in Nonprofits</t>
  </si>
  <si>
    <t>Paige Jarreau</t>
  </si>
  <si>
    <t>SF Community Manager Meetup #octribe</t>
  </si>
  <si>
    <t>Social Media Research Foundation</t>
  </si>
  <si>
    <t>Big Data</t>
  </si>
  <si>
    <t>Shalina Chatlani</t>
  </si>
  <si>
    <t>Grzegorz Gałęzowski</t>
  </si>
  <si>
    <t>Global Investigative Journalism Network</t>
  </si>
  <si>
    <t>TASA (The Australian Sociological Association)</t>
  </si>
  <si>
    <t>Kenalin gue Fredi Anriko, biasa di panggil Riko kadang juga Rico... pliss "K" sama "C" jangan di sama-samain!! Ini channel gue buat cuma iseng aja, mumpung lagi libur.. #lahkokguecurhat #BodoAmat #LagiBelajarBranding #PanjangAmat #Gajelas
Mungkin segitu aja, jangan lupa Like, Comment &amp; Subscribe Video gue di youtube biar gue bisa bikin video terus okeh  :D</t>
  </si>
  <si>
    <t>A place for videos around writing, music and teaching</t>
  </si>
  <si>
    <t>The latest videos from Microsoft Research Cambridge.</t>
  </si>
  <si>
    <t>#SEOHashtag Crea e Impulsa el #hashtag de tu marca o evento para llevar trafico a tus redes sociales y pagina web y convertir en ventas
Sigueme en mis redes sociales :  
Twitter @hashtagmarketi7
Facebook https://www.facebook.com/VivianFrancosMarketingConsultant
Linkedin https://www.linkedin.com/in/vivianfrancos
Web Blog  https://vivianfrancos.com/</t>
  </si>
  <si>
    <t>PhD. _xD83D__xDC69_‍_xD83C__xDFEB_ Ayudo en remoto a profesionales de #salud a digitalizarse y desarrollar su #marcapersonal 
_xD83D__xDCBB_ Tuiteo congresos de salud online #SmartTwitter #FarmaHealth
#marketingdigital #socialmedia #enfermedadesraras #redessociales manIger de @igerscoruna</t>
  </si>
  <si>
    <t>Welcome!  My name's James Cook, I'm an Associate Professor of Sociology at the University of Maine at Augusta, and this Youtube channel is home to instructional videos in sociology, how-to walkthroughs for data gathering, data analysis, and data visualization methods, and trailers for upcoming events at UMA, which is perhaps the most open of the state universities in Maine.</t>
  </si>
  <si>
    <t>Kanal Youtube ini terutama didedikasikan kepada Mahasiswa khususnya di Universitas Muhammadiyah Yogyakarta dan umumnya kepada pemirsa yang tertarik dengan dunia penulisan akademik, riset, dan hal menarik lainnya. Terima kasih sudah mampir. Wassalam 
This Youtube Channel is mainly dedicated to students especially at Universitas Muhammadiyah Yogyakarta and generally to viewers who are interested in academic writing, research, and other interesting things. Thank you for watching. Wassalam</t>
  </si>
  <si>
    <t>Road Trip - Traveling - Education - Fun</t>
  </si>
  <si>
    <t>Pembelajar di Sidoarjo</t>
  </si>
  <si>
    <t>Archive of my former remote drum recording studio.
This Youtube channel is no longer in use.</t>
  </si>
  <si>
    <t>Canal do Tulio Kahn. Focado em metodologia de pesquisas e análise de dados, o canal mostra diversos recursos existentes em softwares conhecidos de análise de dados, muitos deles gratuitos. Os videos tem 15 mínutos de duração e abordam técnicas de data science,  da raspagem de dados à estatística multivariada usando I.A. O autor é doutor em ciência política pela USP, foi pesquisador visitante nas Universidades de Michigan, UCSD e Oxford. Além do canal, mantem o Blog do Tulio Kahn e tem mais de 20 livros digitais disponibilizados na Amazon</t>
  </si>
  <si>
    <t>Informática. Acessórios para notebook. Eletrônicos. Suprimentos Multimídia</t>
  </si>
  <si>
    <t>Talks at Google is a leader in the corporate interview series space, providing a platform for influential thinkers, creators, makers and doers to tell us about their work, their lives and what drives them to shape our world.  We host talks virtually and physically across 30+ Google offices worldwide, and often record and release these talks publicly.
Subscribe to our audio-only "Talks at Google" podcast everywhere podcasts are found via https://linktr.ee/talksatgoogle. 
DISCLAIMER: The views or opinions expressed by the guest speakers are solely their own and do not necessarily represent the views or opinions of Google, Inc. The comments on this channel belong only to the person who posted them. We do, however, reserve the right to remove off-topic or inappropriate comments.</t>
  </si>
  <si>
    <t>This is my channel.</t>
  </si>
  <si>
    <t>Just like you, I am a traveler in the world that exists within me and around me. In 2008, I made this channel to seek the wonders of my life by creating expressive videos. Increasing feedback ad subscriptions made me broaden the initial objective. I now create videos that help me and others feel grace, wonder, inner joy, and longing for all the love and beauty that we can see or feel. In my opinion, we are always looking for and moving toward beauty and love— consciously or unconsciously. 
~ The opposite of love is not hate, it's indifference. The opposite of beauty is not ugliness, it's indifference. The opposite of faith is not heresy, it's indifference. And the opposite of life is not death, but indifference between life and death~ 
~ Never loose your childish innocence. This is the most important thing ~ Then ~ Unthinkably good things can happen, even late at the end of the game! It s such a surprise ~</t>
  </si>
  <si>
    <t>Sukses adalah hak semua orang termasuk kalian.
So, Yakinlah pada diri kalian. Bersama kami kalian MESTISUKSES</t>
  </si>
  <si>
    <t>usputni video zapisi</t>
  </si>
  <si>
    <t>Welcome to the home of NodeXL on YouTube!
NodeXL is the Network Overview Discovery and Exploration add-in for the familiar Microsoft® Office® Excel® spreadsheet.  If you can make a pie chart, you can now make a network chart.  Collect network data from a variety of end points including Twitter, Facebook, YouTube, flickr, email, Wikis, blogs, and more!  Analyze, measure and visualize networks with just a few clicks with NodeXL's Automate feature. Get insights into influencers, groups, divisions, and content over time.
NodeXL is brought to you by the Social Media Research Foundation (http://smrfoundation.org) which is dedicated to helping people understand connected structures like society and social media.</t>
  </si>
  <si>
    <t>Tamir edip onardığım ürünlerin çalışmalarını.
Evde bulunup kullanılmayan eşyaların değerlendirilmeleri.
Almış olduğum ürünlerin değerlendirmelerini. 
Sizlerin de kolaylıkla yapabileceği işlerin hap bilgilerini sunacağım.</t>
  </si>
  <si>
    <t>Channel that I follow is all about 'easy listening' and 'easy watching' things..
Interesting but not too hard to be accepted by my LIMITED BRAIN... LOL</t>
  </si>
  <si>
    <t>Hi! I am Filip, This is my video sharing platform. Just walk around it see if you can find something interesting from a wide selection of documentaries, interviews, and video clips. Share yours if you like. Have fun.</t>
  </si>
  <si>
    <t>Program Pembudayaan Komuniti Pembelajaran Dalam Talian Yang Lestari Pulau Pinang</t>
  </si>
  <si>
    <t xml:space="preserve">This is me, imam riauan.
Its about my travel vlog, daily vlog as one of lecture in Indonesia, Universitas Islam Riau. Follow me on @imamriauan facebook/instagram. Ask me on comment, and please like, subscribe, &amp; share. 
Invite me for join trip or business inquiry on @imamriauan
nicetradewithme@gmail.com
</t>
  </si>
  <si>
    <t>Najm Aleessawi</t>
  </si>
  <si>
    <t>قناة تهدف الى تقديم كل ما هو مفيد ونافع في كل مجالات الحياة</t>
  </si>
  <si>
    <t xml:space="preserve">Это обычный среднестатистический треш-канал с компьютерными треш-игрульками, в основном про Соника, в основном про Соника.ехе. 
Так что...оставь надежду на качество, всяк сюда входящий...
</t>
  </si>
  <si>
    <t xml:space="preserve">I make videos about technology - how to use it, and how it impacts us. I'm particularly interested in open source tools. </t>
  </si>
  <si>
    <t>Hello guys. This is my 1st ever channel here. I'll be making strange contents and more! Hope you enjoy and subscribe for more!</t>
  </si>
  <si>
    <t>قناة عامة تنقل محتوى تعليمي</t>
  </si>
  <si>
    <t>Prodramp is an enterprise technology adoption platform to achieve faster adoption through a curated collection of competitions, tasks, content, events, and consultations.</t>
  </si>
  <si>
    <t>"A mistake proves that someone stopped talking long enough to do something", stop reviewing and analyzing everything in your life and go and try it.. Not a single plan is good enough if its not tried in practice.</t>
  </si>
  <si>
    <t>This channel is a platform for showcasing my amateur attempts at various things, music being the primary one. I am trained in Rabindrasangeet and also sing light music. 
I'm open to collaborate with instrumentalists. Please drop me a message on my channel or put a comment on any video.</t>
  </si>
  <si>
    <t>This is the Open-ecommerce.org chanel where we add some customer videos and tutorials in general</t>
  </si>
  <si>
    <t>Playlist 2017 by Brody</t>
  </si>
  <si>
    <t xml:space="preserve">SMART Data Sprint is intensive hands-on work, driven by online data and digital methods. We adopt experimental and inventive ways of reading, seeing, and analysing platform data, with the aim of responding to a set of research questions. 
Our goal is to collectively achieve concrete outcomes, creating the opportunity for knowledge production and providing an environment in which participants can equally contribute and benefit from one another’s expertise. We believe that: 1) new approaches for social media research can be collectively built and designed through this experimental and exploratory process, and advanced by digital methods; 2) the data sprint approach can trigger new possibilities for ongoing digital research, as well as provide descriptions and a broad/narrow view on the subject of study.
</t>
  </si>
  <si>
    <t>Türk yükseköğretim sisteminde 32. yılını tamamlayan Anadolu Üniversitesi Açıköğretim Sistemi, yaklaşık 1 milyon 400 bin öğrencisi ve 2 milyon 200 bin mezununa açıköğretim sistemiyle yükseköğrenim sağlamanın yanı sıra özel projeler yardımıyla Türkiye’nin eğitim sorunlarının aşılmasında vazgeçilmez bir rol üstlenmektedir.
Anadolu Üniversitesi Açıköğretim Sistemi, ülkemizde çağdaş anlamda açıköğretim sistemi ile yeni ihtiyaçların karşılanması konusunda hızla harekete geçebilen çok esnek bir yapıya, güçlü bir organizasyona sahiptir. Uluslararası düzeyde işbirlikleri için cazibe merkezi haline gelen Anadolu Üniversitesi Açıköğretim Sistemi, sahip olduğu teknik alt yapı, kalite düzeyi yüksek ve verimli çalışabilen üretken insan kaynağı ile kendini sürekli yenileyerek uyguladığı açıköğretim sistemi ile Türk Yükseköğretim Sisteminde ülkemizde yükseköğretim alanında birçok ilkleri ve yenilikleri uygulamaya koymaktadır. Bu yönü ile dünyanın mega üniversiteleri arasında yer almaktadır.</t>
  </si>
  <si>
    <t>RFL Communications presents the Research Business DAILY Report! Concise perspectives, insights and analysis about under-reported events impacting the market research world, from RFL Communications Editor &amp; Publisher Bob Lederer. New edition every Monday-Thursday. Join our email list and receive a message as soon as a new RBDR is uploaded: http://ow.ly/CfFWE.</t>
  </si>
  <si>
    <t>At Microsoft, research plays a crucial role in driving those breakthroughs. Our researchers, scientists, and engineers have influenced virtually every Microsoft product we have released in the past three decades, including Cortana, Azure ML, Office, Xbox, HoloLens, Skype, and Windows.
These leading industry thinkers also contribute to important basic and applied research in fields ranging from healthcare to economics. They also provide thought leadership to both business and engineering leaders in fields such as machine learning, artificial intelligence, and cloud computing. 
Microsoft researchers believe in sharing this fundamental, groundbreaking research with the world. We do this through products and services we release, such as Project Oxford and CNTK, and through partnerships with leading universities and research organizations. 
At Microsoft, we believe in the value of research, for our own work and for the world we live in.</t>
  </si>
  <si>
    <t>Videos relating to Polinode - a tool to map, visualize and analyze relationships between people.</t>
  </si>
  <si>
    <t>Jeremy Harris Lipschultz is professor and director of The University of Nebraska at Omaha School of Communication in the College of Communication, Fine Arts and Media.</t>
  </si>
  <si>
    <t>Ideas and presentations on social fundraising and social communications for nonprofit organizations.</t>
  </si>
  <si>
    <t>SF Community Managers Meetup - A free monthly Meetup for online community managers, enthusiasts and innovators interested in social networking applications, social media and online group collaboration. We discuss tools and strategies to enhance participation in the various online communities we support. Meetups are livestreamed from San Francisco and usually happen on the 4th Wednesday of every month at 6pm. We're always looking for speakers and sponsors, so contact us if you are interested.
Meetup
https://www.meetup.com/CommunityManagersinSF/
Livestream
https://www.facebook.com/groups/OCTRIBE/
Hashtag #octribe
https://twitter.com/hashtag/octribe</t>
  </si>
  <si>
    <t>Mapping social media networks using NodeXL
Videos related to social media data collection, analysis, and visualization.
The Social Media Research Foundation builds and maintains the NodeXL application.  NodeXl makes network analysis as easy as making a pie chart.</t>
  </si>
  <si>
    <t>Big Data IT 552 Course</t>
  </si>
  <si>
    <t xml:space="preserve">The Global Investigative Journalism Network (GIJN) is an international association of nonprofit organizations that support, promote, and produce investigative journalism. GIJN holds conferences, conducts trainings, provides resources and a Help Desk, and encourages the creation of similar nonprofit groups. 
It was founded in 2003 when more than 300 journalists from around the world gathered for the second Global Investigative Journalism Conference in Copenhagen. Since then it has grown to 203 member organizations in 80 countries.
+ info: https://gijn.org
GIJN Around the World
GIJN en Español: https://www.youtube.com/channel/UCaDBjn7AT9E3wIwewENnJ5A
GIJN الشبكة العالمية للصحافة الاستقصائية: https://www.youtube.com/channel/UCh2tjxeSpjCD5ztiFcxUgkQ
GIJN en Français: https://www.youtube.com/channel/UCe8mk-x-eax-lmsVuGztJWg
GIJN Russian: https://www.youtube.com/channel/UCrBk5ax8_a8O4wgH3mmCY-w
</t>
  </si>
  <si>
    <t>The Australian Sociological Association (TASA) is the peak professional association for Australian sociologists. Formed in 1963, TASA is celebrating its 50th anniversary this year. TASA holds an annual conference, produces two refereed journals, facilitates networks across specialist fields, and awards prizes for outstanding contributions to Australian sociology.
For more info visit us at http://www.tasa.org.au/</t>
  </si>
  <si>
    <t>larrylugo</t>
  </si>
  <si>
    <t>brittanykubinski</t>
  </si>
  <si>
    <t>marcsmithsociologist</t>
  </si>
  <si>
    <t>kevinhodgson</t>
  </si>
  <si>
    <t>sarahhoneychurch</t>
  </si>
  <si>
    <t>vivianfrancos</t>
  </si>
  <si>
    <t>mikalaiti</t>
  </si>
  <si>
    <t>alexfenton</t>
  </si>
  <si>
    <t>ngocphuongchauph0123</t>
  </si>
  <si>
    <t>jamescookuma</t>
  </si>
  <si>
    <t>petrudumitru</t>
  </si>
  <si>
    <t>tuliokahn</t>
  </si>
  <si>
    <t>gustavocamargos</t>
  </si>
  <si>
    <t>gregorlebanplus</t>
  </si>
  <si>
    <t>talksatgoogle</t>
  </si>
  <si>
    <t>buracademy</t>
  </si>
  <si>
    <t>shaunkellogg</t>
  </si>
  <si>
    <t>christiancaldwell</t>
  </si>
  <si>
    <t>jasminkakovacevic</t>
  </si>
  <si>
    <t>alanshawesq</t>
  </si>
  <si>
    <t>abufade555ye</t>
  </si>
  <si>
    <t>avkashchauhan</t>
  </si>
  <si>
    <t>fabricefrossard</t>
  </si>
  <si>
    <t>emmanuelnwofe</t>
  </si>
  <si>
    <t>kubadusza</t>
  </si>
  <si>
    <t>suchetanagupta</t>
  </si>
  <si>
    <t>openecommerceorg</t>
  </si>
  <si>
    <t>danmccreary</t>
  </si>
  <si>
    <t>acikogretimsistemi</t>
  </si>
  <si>
    <t>kasperdeibel</t>
  </si>
  <si>
    <t>steveboland</t>
  </si>
  <si>
    <t>becketthsieh</t>
  </si>
  <si>
    <t>polinodemilsonspoint</t>
  </si>
  <si>
    <t>jeremyharrislipschultz</t>
  </si>
  <si>
    <t>nextinnonprofits</t>
  </si>
  <si>
    <t>globalinvestigativejournalismnetwork</t>
  </si>
  <si>
    <t>Open Channel URL in Browser</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</si>
  <si>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</si>
  <si>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</si>
  <si>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</si>
  <si>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</si>
  <si>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</si>
  <si>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</si>
  <si>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</si>
  <si>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</si>
  <si>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</si>
  <si>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</si>
  <si>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</si>
  <si>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</si>
  <si>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</si>
  <si>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</si>
  <si>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</si>
  <si>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</si>
  <si>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</si>
  <si>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</si>
  <si>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</si>
  <si>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</si>
  <si>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</si>
  <si>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</si>
  <si>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</si>
  <si>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</si>
  <si>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</si>
  <si>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</si>
  <si>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</si>
  <si>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</si>
  <si>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</si>
  <si>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</si>
  <si>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</si>
  <si>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</si>
  <si>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</si>
  <si>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</si>
  <si>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</si>
  <si>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</si>
  <si>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</si>
  <si>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</si>
  <si>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</si>
  <si>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</si>
  <si>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</si>
  <si>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</si>
  <si>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</si>
  <si>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</si>
  <si>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</si>
  <si>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</si>
  <si>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</si>
  <si>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</si>
  <si>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</si>
  <si>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</si>
  <si>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</si>
  <si>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</si>
  <si>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data</t>
  </si>
  <si>
    <t>twitter</t>
  </si>
  <si>
    <t>network</t>
  </si>
  <si>
    <t>tweets</t>
  </si>
  <si>
    <t>james</t>
  </si>
  <si>
    <t>graph</t>
  </si>
  <si>
    <t>cook</t>
  </si>
  <si>
    <t>vertices</t>
  </si>
  <si>
    <t>download</t>
  </si>
  <si>
    <t>like</t>
  </si>
  <si>
    <t>great</t>
  </si>
  <si>
    <t>work</t>
  </si>
  <si>
    <t>node</t>
  </si>
  <si>
    <t>analysis</t>
  </si>
  <si>
    <t>ve</t>
  </si>
  <si>
    <t>results</t>
  </si>
  <si>
    <t>help</t>
  </si>
  <si>
    <t>org</t>
  </si>
  <si>
    <t>lot</t>
  </si>
  <si>
    <t>tweet</t>
  </si>
  <si>
    <t>time</t>
  </si>
  <si>
    <t>file</t>
  </si>
  <si>
    <t>list</t>
  </si>
  <si>
    <t>version</t>
  </si>
  <si>
    <t>search_query</t>
  </si>
  <si>
    <t>helpful</t>
  </si>
  <si>
    <t>social</t>
  </si>
  <si>
    <t>good</t>
  </si>
  <si>
    <t>open</t>
  </si>
  <si>
    <t>excel</t>
  </si>
  <si>
    <t>link</t>
  </si>
  <si>
    <t>edge</t>
  </si>
  <si>
    <t>well</t>
  </si>
  <si>
    <t>column</t>
  </si>
  <si>
    <t>windows</t>
  </si>
  <si>
    <t>vertex</t>
  </si>
  <si>
    <t>sharing</t>
  </si>
  <si>
    <t>tutorial</t>
  </si>
  <si>
    <t>software</t>
  </si>
  <si>
    <t>million</t>
  </si>
  <si>
    <t>program</t>
  </si>
  <si>
    <t>import</t>
  </si>
  <si>
    <t>gephi</t>
  </si>
  <si>
    <t>hashtag</t>
  </si>
  <si>
    <t>facebook</t>
  </si>
  <si>
    <t>replies</t>
  </si>
  <si>
    <t>explanation</t>
  </si>
  <si>
    <t>image</t>
  </si>
  <si>
    <t>set</t>
  </si>
  <si>
    <t>specific</t>
  </si>
  <si>
    <t>nodexlgraphgallery</t>
  </si>
  <si>
    <t>pages</t>
  </si>
  <si>
    <t>google</t>
  </si>
  <si>
    <t>content</t>
  </si>
  <si>
    <t>explained</t>
  </si>
  <si>
    <t>best</t>
  </si>
  <si>
    <t>dr</t>
  </si>
  <si>
    <t>nodes</t>
  </si>
  <si>
    <t>user</t>
  </si>
  <si>
    <t>xl</t>
  </si>
  <si>
    <t>question</t>
  </si>
  <si>
    <t>bir</t>
  </si>
  <si>
    <t>simply</t>
  </si>
  <si>
    <t>hard</t>
  </si>
  <si>
    <t>right</t>
  </si>
  <si>
    <t>email</t>
  </si>
  <si>
    <t>microsoft</t>
  </si>
  <si>
    <t>filter</t>
  </si>
  <si>
    <t>edges</t>
  </si>
  <si>
    <t>pro</t>
  </si>
  <si>
    <t>account</t>
  </si>
  <si>
    <t>search</t>
  </si>
  <si>
    <t>mentioned</t>
  </si>
  <si>
    <t>luxmi</t>
  </si>
  <si>
    <t>author</t>
  </si>
  <si>
    <t>smrfoundation</t>
  </si>
  <si>
    <t>start</t>
  </si>
  <si>
    <t>drive</t>
  </si>
  <si>
    <t>location</t>
  </si>
  <si>
    <t>media</t>
  </si>
  <si>
    <t>awesome</t>
  </si>
  <si>
    <t>grade</t>
  </si>
  <si>
    <t>visualization</t>
  </si>
  <si>
    <t>information</t>
  </si>
  <si>
    <t>try</t>
  </si>
  <si>
    <t>users</t>
  </si>
  <si>
    <t>worksheet</t>
  </si>
  <si>
    <t>understand</t>
  </si>
  <si>
    <t>dynamic</t>
  </si>
  <si>
    <t>hope</t>
  </si>
  <si>
    <t>problem</t>
  </si>
  <si>
    <t>issue</t>
  </si>
  <si>
    <t>api</t>
  </si>
  <si>
    <t>2007</t>
  </si>
  <si>
    <t>think</t>
  </si>
  <si>
    <t>advance</t>
  </si>
  <si>
    <t>longer</t>
  </si>
  <si>
    <t>estou</t>
  </si>
  <si>
    <t>dataset</t>
  </si>
  <si>
    <t>teachers</t>
  </si>
  <si>
    <t>easy</t>
  </si>
  <si>
    <t>excellent</t>
  </si>
  <si>
    <t>error</t>
  </si>
  <si>
    <t>option</t>
  </si>
  <si>
    <t>unfortunately</t>
  </si>
  <si>
    <t>reply</t>
  </si>
  <si>
    <t>tab</t>
  </si>
  <si>
    <t>verma</t>
  </si>
  <si>
    <t>gt</t>
  </si>
  <si>
    <t>registration</t>
  </si>
  <si>
    <t>networks</t>
  </si>
  <si>
    <t>share</t>
  </si>
  <si>
    <t>page</t>
  </si>
  <si>
    <t>nice</t>
  </si>
  <si>
    <t>çok</t>
  </si>
  <si>
    <t>usp</t>
  </si>
  <si>
    <t>mentions</t>
  </si>
  <si>
    <t>codeplex</t>
  </si>
  <si>
    <t>10</t>
  </si>
  <si>
    <t>workbook</t>
  </si>
  <si>
    <t>possível</t>
  </si>
  <si>
    <t>muito</t>
  </si>
  <si>
    <t>trying</t>
  </si>
  <si>
    <t>downloaded</t>
  </si>
  <si>
    <t>basic</t>
  </si>
  <si>
    <t>folks</t>
  </si>
  <si>
    <t>office</t>
  </si>
  <si>
    <t>save</t>
  </si>
  <si>
    <t>maine</t>
  </si>
  <si>
    <t>view</t>
  </si>
  <si>
    <t>centrality</t>
  </si>
  <si>
    <t>useful</t>
  </si>
  <si>
    <t>change</t>
  </si>
  <si>
    <t>filters</t>
  </si>
  <si>
    <t>columns</t>
  </si>
  <si>
    <t>window</t>
  </si>
  <si>
    <t>professor</t>
  </si>
  <si>
    <t>consider</t>
  </si>
  <si>
    <t>enter</t>
  </si>
  <si>
    <t>show</t>
  </si>
  <si>
    <t>post</t>
  </si>
  <si>
    <t>manually</t>
  </si>
  <si>
    <t>format</t>
  </si>
  <si>
    <t>options</t>
  </si>
  <si>
    <t>23savebabakansiliwangi</t>
  </si>
  <si>
    <t>#savebabakansiliwangi</t>
  </si>
  <si>
    <t>writing</t>
  </si>
  <si>
    <t>tool</t>
  </si>
  <si>
    <t>installation</t>
  </si>
  <si>
    <t>historical</t>
  </si>
  <si>
    <t>simple</t>
  </si>
  <si>
    <t>attributes</t>
  </si>
  <si>
    <t>analizi</t>
  </si>
  <si>
    <t>2020</t>
  </si>
  <si>
    <t>não</t>
  </si>
  <si>
    <t>oi</t>
  </si>
  <si>
    <t>rtweet</t>
  </si>
  <si>
    <t>package</t>
  </si>
  <si>
    <t>marc</t>
  </si>
  <si>
    <t>metrics</t>
  </si>
  <si>
    <t>sound</t>
  </si>
  <si>
    <t>stuff</t>
  </si>
  <si>
    <t>pop</t>
  </si>
  <si>
    <t>programs</t>
  </si>
  <si>
    <t>computer</t>
  </si>
  <si>
    <t>available</t>
  </si>
  <si>
    <t>features</t>
  </si>
  <si>
    <t>tie</t>
  </si>
  <si>
    <t>wondering</t>
  </si>
  <si>
    <t>send</t>
  </si>
  <si>
    <t>phd</t>
  </si>
  <si>
    <t>lines</t>
  </si>
  <si>
    <t>degree</t>
  </si>
  <si>
    <t>automatically</t>
  </si>
  <si>
    <t>previous</t>
  </si>
  <si>
    <t>research</t>
  </si>
  <si>
    <t>february</t>
  </si>
  <si>
    <t>appreciate</t>
  </si>
  <si>
    <t>limitation</t>
  </si>
  <si>
    <t>spreadsheet</t>
  </si>
  <si>
    <t>create</t>
  </si>
  <si>
    <t>text</t>
  </si>
  <si>
    <t>names</t>
  </si>
  <si>
    <t>layout</t>
  </si>
  <si>
    <t>hand</t>
  </si>
  <si>
    <t>select</t>
  </si>
  <si>
    <t>wonderful</t>
  </si>
  <si>
    <t>couple</t>
  </si>
  <si>
    <t>analyze</t>
  </si>
  <si>
    <t>install</t>
  </si>
  <si>
    <t>cool</t>
  </si>
  <si>
    <t>hear</t>
  </si>
  <si>
    <t>works</t>
  </si>
  <si>
    <t>groups</t>
  </si>
  <si>
    <t>mas</t>
  </si>
  <si>
    <t>group</t>
  </si>
  <si>
    <t>links</t>
  </si>
  <si>
    <t>em</t>
  </si>
  <si>
    <t>kind</t>
  </si>
  <si>
    <t>check</t>
  </si>
  <si>
    <t>amazon</t>
  </si>
  <si>
    <t>map</t>
  </si>
  <si>
    <t>fix</t>
  </si>
  <si>
    <t>tick</t>
  </si>
  <si>
    <t>merhaba</t>
  </si>
  <si>
    <t>ile</t>
  </si>
  <si>
    <t>nasıl</t>
  </si>
  <si>
    <t>pdf</t>
  </si>
  <si>
    <t>hocam</t>
  </si>
  <si>
    <t>gallery</t>
  </si>
  <si>
    <t>graphid</t>
  </si>
  <si>
    <t>você</t>
  </si>
  <si>
    <t>continuação</t>
  </si>
  <si>
    <t>timeline</t>
  </si>
  <si>
    <t>comments</t>
  </si>
  <si>
    <t>collumns</t>
  </si>
  <si>
    <t>empty</t>
  </si>
  <si>
    <t>mihkal</t>
  </si>
  <si>
    <t>earth</t>
  </si>
  <si>
    <t>insert</t>
  </si>
  <si>
    <t>shape</t>
  </si>
  <si>
    <t>assist</t>
  </si>
  <si>
    <t>ask</t>
  </si>
  <si>
    <t>happened</t>
  </si>
  <si>
    <t>running</t>
  </si>
  <si>
    <t>long</t>
  </si>
  <si>
    <t>working</t>
  </si>
  <si>
    <t>apple</t>
  </si>
  <si>
    <t>system</t>
  </si>
  <si>
    <t>easily</t>
  </si>
  <si>
    <t>absolutely</t>
  </si>
  <si>
    <t>ex</t>
  </si>
  <si>
    <t>23adidas</t>
  </si>
  <si>
    <t>#adidas</t>
  </si>
  <si>
    <t>mexico</t>
  </si>
  <si>
    <t>source</t>
  </si>
  <si>
    <t>resource</t>
  </si>
  <si>
    <t>posting</t>
  </si>
  <si>
    <t>life</t>
  </si>
  <si>
    <t>blank</t>
  </si>
  <si>
    <t>won</t>
  </si>
  <si>
    <t>document</t>
  </si>
  <si>
    <t>button</t>
  </si>
  <si>
    <t>worked</t>
  </si>
  <si>
    <t>function</t>
  </si>
  <si>
    <t>past</t>
  </si>
  <si>
    <t>appeared</t>
  </si>
  <si>
    <t>important</t>
  </si>
  <si>
    <t>importing</t>
  </si>
  <si>
    <t>limit</t>
  </si>
  <si>
    <t>solution</t>
  </si>
  <si>
    <t>updated</t>
  </si>
  <si>
    <t>thesis</t>
  </si>
  <si>
    <t>better</t>
  </si>
  <si>
    <t>extract</t>
  </si>
  <si>
    <t>week</t>
  </si>
  <si>
    <t>thing</t>
  </si>
  <si>
    <t>assignment</t>
  </si>
  <si>
    <t>place</t>
  </si>
  <si>
    <t>book</t>
  </si>
  <si>
    <t>radian</t>
  </si>
  <si>
    <t>value</t>
  </si>
  <si>
    <t>visualise</t>
  </si>
  <si>
    <t>answer</t>
  </si>
  <si>
    <t>result</t>
  </si>
  <si>
    <t>loop</t>
  </si>
  <si>
    <t>relation</t>
  </si>
  <si>
    <t>id</t>
  </si>
  <si>
    <t>visualize</t>
  </si>
  <si>
    <t>present</t>
  </si>
  <si>
    <t>environmental</t>
  </si>
  <si>
    <t>supposed</t>
  </si>
  <si>
    <t>april</t>
  </si>
  <si>
    <t>appear</t>
  </si>
  <si>
    <t>desktop</t>
  </si>
  <si>
    <t>tips</t>
  </si>
  <si>
    <t>add</t>
  </si>
  <si>
    <t>learned</t>
  </si>
  <si>
    <t>functional</t>
  </si>
  <si>
    <t>tip</t>
  </si>
  <si>
    <t>based</t>
  </si>
  <si>
    <t>changed</t>
  </si>
  <si>
    <t>derek</t>
  </si>
  <si>
    <t>09</t>
  </si>
  <si>
    <t>herramienta</t>
  </si>
  <si>
    <t>sna</t>
  </si>
  <si>
    <t>finally</t>
  </si>
  <si>
    <t>course</t>
  </si>
  <si>
    <t>wish</t>
  </si>
  <si>
    <t>attribute</t>
  </si>
  <si>
    <t>analyzing</t>
  </si>
  <si>
    <t>click</t>
  </si>
  <si>
    <t>için</t>
  </si>
  <si>
    <t>bu</t>
  </si>
  <si>
    <t>misiniz</t>
  </si>
  <si>
    <t>arasında</t>
  </si>
  <si>
    <t>daha</t>
  </si>
  <si>
    <t>teşekkürler</t>
  </si>
  <si>
    <t>programı</t>
  </si>
  <si>
    <t>fantastic</t>
  </si>
  <si>
    <t>2013</t>
  </si>
  <si>
    <t>etc</t>
  </si>
  <si>
    <t>collecting</t>
  </si>
  <si>
    <t>generates</t>
  </si>
  <si>
    <t>importer</t>
  </si>
  <si>
    <t>archive</t>
  </si>
  <si>
    <t>juliana</t>
  </si>
  <si>
    <t>souza</t>
  </si>
  <si>
    <t>treder</t>
  </si>
  <si>
    <t>01</t>
  </si>
  <si>
    <t>max</t>
  </si>
  <si>
    <t>eu</t>
  </si>
  <si>
    <t>dados</t>
  </si>
  <si>
    <t>acha</t>
  </si>
  <si>
    <t>tudo</t>
  </si>
  <si>
    <t>abs</t>
  </si>
  <si>
    <t>olá</t>
  </si>
  <si>
    <t>vídeo</t>
  </si>
  <si>
    <t>fiz</t>
  </si>
  <si>
    <t>tem</t>
  </si>
  <si>
    <t>forma</t>
  </si>
  <si>
    <t>blog</t>
  </si>
  <si>
    <t>ibpad</t>
  </si>
  <si>
    <t>obrigado</t>
  </si>
  <si>
    <t>kak</t>
  </si>
  <si>
    <t>fun</t>
  </si>
  <si>
    <t>stored</t>
  </si>
  <si>
    <t>original</t>
  </si>
  <si>
    <t>updates</t>
  </si>
  <si>
    <t>duv8mcs</t>
  </si>
  <si>
    <t>utc</t>
  </si>
  <si>
    <t>gexf</t>
  </si>
  <si>
    <t>audiencia</t>
  </si>
  <si>
    <t>request</t>
  </si>
  <si>
    <t>smith</t>
  </si>
  <si>
    <t>explains</t>
  </si>
  <si>
    <t>students</t>
  </si>
  <si>
    <t>university</t>
  </si>
  <si>
    <t>job</t>
  </si>
  <si>
    <t>quality</t>
  </si>
  <si>
    <t>watching</t>
  </si>
  <si>
    <t>moring</t>
  </si>
  <si>
    <t>appearing</t>
  </si>
  <si>
    <t>messages</t>
  </si>
  <si>
    <t>received</t>
  </si>
  <si>
    <t>things</t>
  </si>
  <si>
    <t>suite</t>
  </si>
  <si>
    <t>machine</t>
  </si>
  <si>
    <t>operating</t>
  </si>
  <si>
    <t>apply</t>
  </si>
  <si>
    <t>glad</t>
  </si>
  <si>
    <t>ass</t>
  </si>
  <si>
    <t>country</t>
  </si>
  <si>
    <t>avkash</t>
  </si>
  <si>
    <t>build</t>
  </si>
  <si>
    <t>started</t>
  </si>
  <si>
    <t>detailed</t>
  </si>
  <si>
    <t>message</t>
  </si>
  <si>
    <t>outliers</t>
  </si>
  <si>
    <t>screen</t>
  </si>
  <si>
    <t>actual</t>
  </si>
  <si>
    <t>ribbon</t>
  </si>
  <si>
    <t>saver</t>
  </si>
  <si>
    <t>followers</t>
  </si>
  <si>
    <t>people</t>
  </si>
  <si>
    <t>friends</t>
  </si>
  <si>
    <t>solutions</t>
  </si>
  <si>
    <t>problems</t>
  </si>
  <si>
    <t>592</t>
  </si>
  <si>
    <t>appears</t>
  </si>
  <si>
    <t>faux</t>
  </si>
  <si>
    <t>vrai</t>
  </si>
  <si>
    <t>helping</t>
  </si>
  <si>
    <t>kellogg</t>
  </si>
  <si>
    <t>dates</t>
  </si>
  <si>
    <t>election</t>
  </si>
  <si>
    <t>export</t>
  </si>
  <si>
    <t>sets</t>
  </si>
  <si>
    <t>scraping</t>
  </si>
  <si>
    <t>posts</t>
  </si>
  <si>
    <t>scripts</t>
  </si>
  <si>
    <t>access</t>
  </si>
  <si>
    <t>periods</t>
  </si>
  <si>
    <t>class</t>
  </si>
  <si>
    <t>installed</t>
  </si>
  <si>
    <t>wrong</t>
  </si>
  <si>
    <t>noticed</t>
  </si>
  <si>
    <t>betweenness</t>
  </si>
  <si>
    <t>master</t>
  </si>
  <si>
    <t>understood</t>
  </si>
  <si>
    <t>limited</t>
  </si>
  <si>
    <t>occurred</t>
  </si>
  <si>
    <t>nour</t>
  </si>
  <si>
    <t>abuhadra</t>
  </si>
  <si>
    <t>moment</t>
  </si>
  <si>
    <t>significantly</t>
  </si>
  <si>
    <t>capture</t>
  </si>
  <si>
    <t>tricks</t>
  </si>
  <si>
    <t>workaround</t>
  </si>
  <si>
    <t>interesting</t>
  </si>
  <si>
    <t>analyses</t>
  </si>
  <si>
    <t>hashtags</t>
  </si>
  <si>
    <t>advice</t>
  </si>
  <si>
    <t>imposed</t>
  </si>
  <si>
    <t>tutorials</t>
  </si>
  <si>
    <t>struggling</t>
  </si>
  <si>
    <t>vs</t>
  </si>
  <si>
    <t>advise</t>
  </si>
  <si>
    <t>wrote</t>
  </si>
  <si>
    <t>dan</t>
  </si>
  <si>
    <t>row</t>
  </si>
  <si>
    <t>23love</t>
  </si>
  <si>
    <t>#love</t>
  </si>
  <si>
    <t>tweeter</t>
  </si>
  <si>
    <t>asking</t>
  </si>
  <si>
    <t>ties</t>
  </si>
  <si>
    <t>indicate</t>
  </si>
  <si>
    <t>command</t>
  </si>
  <si>
    <t>lbb2lmcsg64</t>
  </si>
  <si>
    <t>helps</t>
  </si>
  <si>
    <t>online</t>
  </si>
  <si>
    <t>convert</t>
  </si>
  <si>
    <t>pass</t>
  </si>
  <si>
    <t>expand</t>
  </si>
  <si>
    <t>space</t>
  </si>
  <si>
    <t>ll</t>
  </si>
  <si>
    <t>explain</t>
  </si>
  <si>
    <t>paste</t>
  </si>
  <si>
    <t>depends</t>
  </si>
  <si>
    <t>idea</t>
  </si>
  <si>
    <t>boxes</t>
  </si>
  <si>
    <t>clusters</t>
  </si>
  <si>
    <t>visit</t>
  </si>
  <si>
    <t>walk</t>
  </si>
  <si>
    <t>pretty</t>
  </si>
  <si>
    <t>mind</t>
  </si>
  <si>
    <t>examples</t>
  </si>
  <si>
    <t>inspiring</t>
  </si>
  <si>
    <t>researching</t>
  </si>
  <si>
    <t>movement</t>
  </si>
  <si>
    <t>indonesia</t>
  </si>
  <si>
    <t>vertice</t>
  </si>
  <si>
    <t>23savebabakan</t>
  </si>
  <si>
    <t>#savebabakan</t>
  </si>
  <si>
    <t>siliwangi</t>
  </si>
  <si>
    <t>twitted</t>
  </si>
  <si>
    <t>meredian</t>
  </si>
  <si>
    <t>material</t>
  </si>
  <si>
    <t>chooses</t>
  </si>
  <si>
    <t>menu</t>
  </si>
  <si>
    <t>cost</t>
  </si>
  <si>
    <t>interactions</t>
  </si>
  <si>
    <t>helped</t>
  </si>
  <si>
    <t>label</t>
  </si>
  <si>
    <t>amazing</t>
  </si>
  <si>
    <t>student</t>
  </si>
  <si>
    <t>feel</t>
  </si>
  <si>
    <t>grateful</t>
  </si>
  <si>
    <t>case</t>
  </si>
  <si>
    <t>packages</t>
  </si>
  <si>
    <t>complete</t>
  </si>
  <si>
    <t>red</t>
  </si>
  <si>
    <t>asp</t>
  </si>
  <si>
    <t>instructions</t>
  </si>
  <si>
    <t>extremely</t>
  </si>
  <si>
    <t>2019</t>
  </si>
  <si>
    <t>05</t>
  </si>
  <si>
    <t>importers</t>
  </si>
  <si>
    <t>personal</t>
  </si>
  <si>
    <t>public</t>
  </si>
  <si>
    <t>gracias</t>
  </si>
  <si>
    <t>saber</t>
  </si>
  <si>
    <t>puedo</t>
  </si>
  <si>
    <t>analizar</t>
  </si>
  <si>
    <t>redes</t>
  </si>
  <si>
    <t>website</t>
  </si>
  <si>
    <t>understandable</t>
  </si>
  <si>
    <t>possibility</t>
  </si>
  <si>
    <t>graphically</t>
  </si>
  <si>
    <t>language</t>
  </si>
  <si>
    <t>portion</t>
  </si>
  <si>
    <t>info</t>
  </si>
  <si>
    <t>dp</t>
  </si>
  <si>
    <t>0123822297</t>
  </si>
  <si>
    <t>presentation</t>
  </si>
  <si>
    <t>position</t>
  </si>
  <si>
    <t>longitude</t>
  </si>
  <si>
    <t>latitude</t>
  </si>
  <si>
    <t>background</t>
  </si>
  <si>
    <t>super</t>
  </si>
  <si>
    <t>او</t>
  </si>
  <si>
    <t>من</t>
  </si>
  <si>
    <t>laptop</t>
  </si>
  <si>
    <t>following</t>
  </si>
  <si>
    <t>hangi</t>
  </si>
  <si>
    <t>sağlık</t>
  </si>
  <si>
    <t>merhabalar</t>
  </si>
  <si>
    <t>teşekkür</t>
  </si>
  <si>
    <t>ederim</t>
  </si>
  <si>
    <t>sizlerden</t>
  </si>
  <si>
    <t>yorumlar</t>
  </si>
  <si>
    <t>umarım</t>
  </si>
  <si>
    <t>işinizi</t>
  </si>
  <si>
    <t>görür</t>
  </si>
  <si>
    <t>iyi</t>
  </si>
  <si>
    <t>çalışmalar</t>
  </si>
  <si>
    <t>sosyal</t>
  </si>
  <si>
    <t>ağ</t>
  </si>
  <si>
    <t>ağların</t>
  </si>
  <si>
    <t>çizimi</t>
  </si>
  <si>
    <t>1setcsr5trfglasy6iibykg9_et02ay5c</t>
  </si>
  <si>
    <t>tezimde</t>
  </si>
  <si>
    <t>iki</t>
  </si>
  <si>
    <t>size</t>
  </si>
  <si>
    <t>bende</t>
  </si>
  <si>
    <t>istiyorum</t>
  </si>
  <si>
    <t>ama</t>
  </si>
  <si>
    <t>rica</t>
  </si>
  <si>
    <t>etsem</t>
  </si>
  <si>
    <t>bit</t>
  </si>
  <si>
    <t>ur</t>
  </si>
  <si>
    <t>type</t>
  </si>
  <si>
    <t>exported</t>
  </si>
  <si>
    <t>standard</t>
  </si>
  <si>
    <t>sir</t>
  </si>
  <si>
    <t>verileri</t>
  </si>
  <si>
    <t>ben</t>
  </si>
  <si>
    <t>acaba</t>
  </si>
  <si>
    <t>cnet</t>
  </si>
  <si>
    <t>3001</t>
  </si>
  <si>
    <t>2077_4</t>
  </si>
  <si>
    <t>10967171</t>
  </si>
  <si>
    <t>aynı</t>
  </si>
  <si>
    <t>olmuş</t>
  </si>
  <si>
    <t>bitirme</t>
  </si>
  <si>
    <t>installing</t>
  </si>
  <si>
    <t>kindly</t>
  </si>
  <si>
    <t>upload</t>
  </si>
  <si>
    <t>maximum</t>
  </si>
  <si>
    <t>part</t>
  </si>
  <si>
    <t>57173</t>
  </si>
  <si>
    <t>trusted</t>
  </si>
  <si>
    <t>mac</t>
  </si>
  <si>
    <t>peteraldhous</t>
  </si>
  <si>
    <t>car</t>
  </si>
  <si>
    <t>nodexl_car2012</t>
  </si>
  <si>
    <t>missing</t>
  </si>
  <si>
    <t>slides</t>
  </si>
  <si>
    <t>focus</t>
  </si>
  <si>
    <t>cái</t>
  </si>
  <si>
    <t>lỗi</t>
  </si>
  <si>
    <t>artigo</t>
  </si>
  <si>
    <t>análise</t>
  </si>
  <si>
    <t>isso</t>
  </si>
  <si>
    <t>utilizando</t>
  </si>
  <si>
    <t>tenho</t>
  </si>
  <si>
    <t>base</t>
  </si>
  <si>
    <t>tema</t>
  </si>
  <si>
    <t>autores</t>
  </si>
  <si>
    <t>onde</t>
  </si>
  <si>
    <t>foram</t>
  </si>
  <si>
    <t>bem</t>
  </si>
  <si>
    <t>há</t>
  </si>
  <si>
    <t>tempo</t>
  </si>
  <si>
    <t>sim</t>
  </si>
  <si>
    <t>mais</t>
  </si>
  <si>
    <t>já</t>
  </si>
  <si>
    <t>pelo</t>
  </si>
  <si>
    <t>fazer</t>
  </si>
  <si>
    <t>utilizar</t>
  </si>
  <si>
    <t>alguma</t>
  </si>
  <si>
    <t>fazendo</t>
  </si>
  <si>
    <t>gustavo</t>
  </si>
  <si>
    <t>fb</t>
  </si>
  <si>
    <t>minha</t>
  </si>
  <si>
    <t>infelizmente</t>
  </si>
  <si>
    <t>stripbooks</t>
  </si>
  <si>
    <t>rh</t>
  </si>
  <si>
    <t>3a6740748011</t>
  </si>
  <si>
    <t>2cp_lbr_books_authors_browse</t>
  </si>
  <si>
    <t>3atulio</t>
  </si>
  <si>
    <t>kahn</t>
  </si>
  <si>
    <t>desc</t>
  </si>
  <si>
    <t>rank</t>
  </si>
  <si>
    <t>qid</t>
  </si>
  <si>
    <t>1637233274</t>
  </si>
  <si>
    <t>ref</t>
  </si>
  <si>
    <t>sr_pg_1</t>
  </si>
  <si>
    <t>script</t>
  </si>
  <si>
    <t>codes</t>
  </si>
  <si>
    <t>developer</t>
  </si>
  <si>
    <t>collect</t>
  </si>
  <si>
    <t>hometown</t>
  </si>
  <si>
    <t>gender</t>
  </si>
  <si>
    <t>birthday</t>
  </si>
  <si>
    <t>dumitru</t>
  </si>
  <si>
    <t>collected</t>
  </si>
  <si>
    <t>replied</t>
  </si>
  <si>
    <t>ucinet</t>
  </si>
  <si>
    <t>step</t>
  </si>
  <si>
    <t>guide</t>
  </si>
  <si>
    <t>generate</t>
  </si>
  <si>
    <t>connectedaction</t>
  </si>
  <si>
    <t>communities</t>
  </si>
  <si>
    <t>brand</t>
  </si>
  <si>
    <t>minute</t>
  </si>
  <si>
    <t>18</t>
  </si>
  <si>
    <t>wednesday</t>
  </si>
  <si>
    <t>period</t>
  </si>
  <si>
    <t>relationship</t>
  </si>
  <si>
    <t>indeedsir</t>
  </si>
  <si>
    <t>isfi</t>
  </si>
  <si>
    <t>224174</t>
  </si>
  <si>
    <t>1dayfgszd6ti7s6i0vyzt419cbpze2lwu</t>
  </si>
  <si>
    <t>fierbmi</t>
  </si>
  <si>
    <t>1pbtsxb9</t>
  </si>
  <si>
    <t>hpdzskfsc5qh5bhozslgeppf</t>
  </si>
  <si>
    <t>conoce</t>
  </si>
  <si>
    <t>tus</t>
  </si>
  <si>
    <t>mapas</t>
  </si>
  <si>
    <t>docs</t>
  </si>
  <si>
    <t>1gdyavkfbxcnrpg_b_eazwhldbsvupy3gfjeeswu474c</t>
  </si>
  <si>
    <t>edit</t>
  </si>
  <si>
    <t>powermap</t>
  </si>
  <si>
    <t>3d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</si>
  <si>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</si>
  <si>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</si>
  <si>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</si>
  <si>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</si>
  <si>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</si>
  <si>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</si>
  <si>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</si>
  <si>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</si>
  <si>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</si>
  <si>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</si>
  <si>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</si>
  <si>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</si>
  <si>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</si>
  <si>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</si>
  <si>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</si>
  <si>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</si>
  <si>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</si>
  <si>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</si>
  <si>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</si>
  <si>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</si>
  <si>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</si>
  <si>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</si>
  <si>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</si>
  <si>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</si>
  <si>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</si>
  <si>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</si>
  <si>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</si>
  <si>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</si>
  <si>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</si>
  <si>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</si>
  <si>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</si>
  <si>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</si>
  <si>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</si>
  <si>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</si>
  <si>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</si>
  <si>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</si>
  <si>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</si>
  <si>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</si>
  <si>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</si>
  <si>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</si>
  <si>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</si>
  <si>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</si>
  <si>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</si>
  <si>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</si>
  <si>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</si>
  <si>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</si>
  <si>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</si>
  <si>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</si>
  <si>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</si>
  <si>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</si>
  <si>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</si>
  <si>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</si>
  <si>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</si>
  <si>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</si>
  <si>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</si>
  <si>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</si>
  <si>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</si>
  <si>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Top 10 Vertices, Ranked by Betweenness Centrality</t>
  </si>
  <si>
    <t>Top URLs In Comment in Entire Graph</t>
  </si>
  <si>
    <t>http://www.youtube.com/results?search_query=%23SaveBabakanSiliwangi</t>
  </si>
  <si>
    <t>https://www.smrfoundation.org/nodexl/installation/</t>
  </si>
  <si>
    <t>http://www.youtube.com/results?search_query=%23adidas</t>
  </si>
  <si>
    <t>http://maine.edu/</t>
  </si>
  <si>
    <t>http://www.youtube.com/results?search_query=%23love</t>
  </si>
  <si>
    <t>https://www.youtube.com/watch?v=lbb2lMCSg64</t>
  </si>
  <si>
    <t>https://nodexlgraphgallery.org/Pages/registration.aspx</t>
  </si>
  <si>
    <t>http://www.youtube.com/results?search_query=%23SaveBabakan</t>
  </si>
  <si>
    <t>https://nodexlgraphgallery.org/Pages/registration.asp</t>
  </si>
  <si>
    <t>https://www.smrfoundation.org/2019/09/05/nodexl-pro-facebook-data-importers-no-longer-functional/</t>
  </si>
  <si>
    <t>Entire Graph Count</t>
  </si>
  <si>
    <t>Top URLs In Comment in G1</t>
  </si>
  <si>
    <t>https://www.peteraldhous.com/CAR/NodeXL_CAR2012.pdf</t>
  </si>
  <si>
    <t>http://www.nodexlgraphgallery.org/Pages/Graph.aspx?graphID=57173</t>
  </si>
  <si>
    <t>http://www.amazon.com/Analyzing-Social-Media-Networks-NodeXL/dp/0123822297</t>
  </si>
  <si>
    <t>http://developer.twitter.com/</t>
  </si>
  <si>
    <t>Top URLs In Comment in G2</t>
  </si>
  <si>
    <t>G1 Count</t>
  </si>
  <si>
    <t>Top URLs In Comment in G3</t>
  </si>
  <si>
    <t>G2 Count</t>
  </si>
  <si>
    <t>Top URLs In Comment in G4</t>
  </si>
  <si>
    <t>G3 Count</t>
  </si>
  <si>
    <t>https://docs.google.com/document/d/1GdYAVkfBXcNrpG_b_EAZwHldbSvUpY3GFjEESWu474c/edit?usp=sharing</t>
  </si>
  <si>
    <t>https://vivianfrancos.com/conoce-tus-mapas-de-audiencia-nodexl/</t>
  </si>
  <si>
    <t>http://vivianfrancos.com/</t>
  </si>
  <si>
    <t>Top URLs In Comment in G5</t>
  </si>
  <si>
    <t>G4 Count</t>
  </si>
  <si>
    <t>https://drive.google.com/file/d/1setCSR5TRFgLAsY6IIbyKG9_eT02Ay5C/view?usp=sharing</t>
  </si>
  <si>
    <t>https://www.nodexlgraphgallery.org/Pages/Registration.aspx</t>
  </si>
  <si>
    <t>http://download.cnet.com/NodeXL/3001-2077_4-10967171.html</t>
  </si>
  <si>
    <t>http://www.youtube.com/results?search_query=%23m%C3%BClteci</t>
  </si>
  <si>
    <t>http://nodexl.codeplex.com/</t>
  </si>
  <si>
    <t>Top URLs In Comment in G6</t>
  </si>
  <si>
    <t>G5 Count</t>
  </si>
  <si>
    <t>Top URLs In Comment in G7</t>
  </si>
  <si>
    <t>G6 Count</t>
  </si>
  <si>
    <t>Top URLs In Comment in G8</t>
  </si>
  <si>
    <t>G7 Count</t>
  </si>
  <si>
    <t>http://blog.ibpad.com.br</t>
  </si>
  <si>
    <t>Top URLs In Comment in G9</t>
  </si>
  <si>
    <t>G8 Count</t>
  </si>
  <si>
    <t>http://www.youtube.com/watch?v=39yXz72qdow&amp;amp;t=4m08s</t>
  </si>
  <si>
    <t>Top URLs In Comment in G10</t>
  </si>
  <si>
    <t>G9 Count</t>
  </si>
  <si>
    <t>https://archive.codeplex.com/?p=nodexl</t>
  </si>
  <si>
    <t>https://nodexl.codeplex.com/</t>
  </si>
  <si>
    <t>https://nodexl.codeplex.com</t>
  </si>
  <si>
    <t>G10 Count</t>
  </si>
  <si>
    <t>Top URLs In Comment</t>
  </si>
  <si>
    <t>https://www.smrfoundation.org/nodexl/installation/ http://maine.edu/ https://www.peteraldhous.com/CAR/NodeXL_CAR2012.pdf http://www.nodexlgraphgallery.org/Pages/Graph.aspx?graphID=57173 http://www.amazon.com/Analyzing-Social-Media-Networks-NodeXL/dp/0123822297 https://nodexlgraphgallery.org/Pages/registration.asp https://nodexlgraphgallery.org/Pages/registration.aspx https://www.youtube.com/watch?v=lbb2lMCSg64 http://www.youtube.com/results?search_query=%23love http://developer.twitter.com/</t>
  </si>
  <si>
    <t>http://www.youtube.com/results?search_query=%23SaveBabakanSiliwangi http://www.youtube.com/results?search_query=%23adidas http://www.youtube.com/results?search_query=%23SaveBabakan</t>
  </si>
  <si>
    <t>https://www.smrfoundation.org/2019/09/05/nodexl-pro-facebook-data-importers-no-longer-functional/ https://docs.google.com/document/d/1GdYAVkfBXcNrpG_b_EAZwHldbSvUpY3GFjEESWu474c/edit?usp=sharing https://vivianfrancos.com/conoce-tus-mapas-de-audiencia-nodexl/ http://vivianfrancos.com/</t>
  </si>
  <si>
    <t>https://drive.google.com/file/d/1setCSR5TRFgLAsY6IIbyKG9_eT02Ay5C/view?usp=sharing https://www.nodexlgraphgallery.org/Pages/Registration.aspx http://download.cnet.com/NodeXL/3001-2077_4-10967171.html http://www.youtube.com/results?search_query=%23m%C3%BClteci http://nodexl.codeplex.com/</t>
  </si>
  <si>
    <t>https://archive.codeplex.com/?p=nodexl https://nodexl.codeplex.com/ https://nodexl.codeplex.com</t>
  </si>
  <si>
    <t>https://drive.google.com/file/d/1PbtSxb9-HpDzskfSC5qh5BHOzSlGEPPF/view?usp=sharing https://fierbmi.com/ https://drive.google.com/open?id=1dAYfGszD6TI7S6I0vyZt419CBPZe2lwU http://www.nodexlgraphgallery.org/Pages/Graph.aspx?graphID=224174 https://twitter.com/mihkal http://mihkal.indeedsir.com/isfi/ https://www.youtube.com/watch?v=o-D-Duv8Mcs&amp;amp;t=10m24s https://www.youtube.com/watch?v=o-D-Duv8Mcs&amp;amp;t=18m26s https://www.youtube.com/watch?v=o-D-Duv8Mcs&amp;amp;t=09m51s</t>
  </si>
  <si>
    <t>https://www.amazon.com.br/s?i=stripbooks&amp;amp;rh=n%3A6740748011%2Cp_lbr_books_authors_browse-bin%3ATulio+Kahn&amp;amp;s=date-desc-rank&amp;amp;qid=1637233274&amp;amp;ref=sr_pg_1</t>
  </si>
  <si>
    <t>https://www.connectedaction.net/new-nodexl-updates-twitter-user-and-list-importer/</t>
  </si>
  <si>
    <t>Top Domains In Comment in Entire Graph</t>
  </si>
  <si>
    <t>nodexlgraphgallery.org</t>
  </si>
  <si>
    <t>google.com</t>
  </si>
  <si>
    <t>smrfoundation.org</t>
  </si>
  <si>
    <t>codeplex.com</t>
  </si>
  <si>
    <t>amazon.com</t>
  </si>
  <si>
    <t>Top Domains In Comment in G1</t>
  </si>
  <si>
    <t>peteraldhous.com</t>
  </si>
  <si>
    <t>Top Domains In Comment in G2</t>
  </si>
  <si>
    <t>Top Domains In Comment in G3</t>
  </si>
  <si>
    <t>Top Domains In Comment in G4</t>
  </si>
  <si>
    <t>Top Domains In Comment in G5</t>
  </si>
  <si>
    <t>cnet.com</t>
  </si>
  <si>
    <t>Top Domains In Comment in G6</t>
  </si>
  <si>
    <t>Top Domains In Comment in G7</t>
  </si>
  <si>
    <t>Top Domains In Comment in G8</t>
  </si>
  <si>
    <t>Top Domains In Comment in G9</t>
  </si>
  <si>
    <t>Top Domains In Comment in G10</t>
  </si>
  <si>
    <t>Top Domains In Comment</t>
  </si>
  <si>
    <t>nodexlgraphgallery.org youtube.com smrfoundation.org maine.edu peteraldhous.com amazon.com twitter.com</t>
  </si>
  <si>
    <t>vivianfrancos.com smrfoundation.org google.com</t>
  </si>
  <si>
    <t>google.com nodexlgraphgallery.org cnet.com youtube.com codeplex.com</t>
  </si>
  <si>
    <t>google.com youtube.com fierbmi.com nodexlgraphgallery.org twitter.com indeedsir.com</t>
  </si>
  <si>
    <t>connectedaction.net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</si>
  <si>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</si>
  <si>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</si>
  <si>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</si>
  <si>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</si>
  <si>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</si>
  <si>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</si>
  <si>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</si>
  <si>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</si>
  <si>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</si>
  <si>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</si>
  <si>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</si>
  <si>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</si>
  <si>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</si>
  <si>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</si>
  <si>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</si>
  <si>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</si>
  <si>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</si>
  <si>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</si>
  <si>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</si>
  <si>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</si>
  <si>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</si>
  <si>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</si>
  <si>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</si>
  <si>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</si>
  <si>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nodexl twitter data network james cook tweets like work graph</t>
  </si>
  <si>
    <t>results search_query nodexl tweets 23savebabakansiliwangi #savebabakansiliwangi graph network vertices lot</t>
  </si>
  <si>
    <t>great million facebook content awesome well explained grade nodexl explanation</t>
  </si>
  <si>
    <t>ve bir çok analizi merhaba ile nasıl node xl hocam</t>
  </si>
  <si>
    <t>nodexl data download tick location gallery powermap edges 3d map</t>
  </si>
  <si>
    <t>vertices dynamic nodexl worksheet understand filter filters helpful help metrics</t>
  </si>
  <si>
    <t>estou nodexl muito possível não oi continuação max eu dados</t>
  </si>
  <si>
    <t>download attributes specific collumns empty location help users facebook fun</t>
  </si>
  <si>
    <t>nodexl codeplex archive tab download kindly share</t>
  </si>
  <si>
    <t>vertices names gephi tutorial post</t>
  </si>
  <si>
    <t>او من</t>
  </si>
  <si>
    <t>data tweets dataset twitter google drive gephi graph network file</t>
  </si>
  <si>
    <t>james cook windows 10</t>
  </si>
  <si>
    <t>cái lỗi</t>
  </si>
  <si>
    <t>amazon stripbooks rh 3a6740748011 2cp_lbr_books_authors_browse 3atulio kahn desc rank qid</t>
  </si>
  <si>
    <t>twitter user updates connectedaction nodexl list importer</t>
  </si>
  <si>
    <t>Top Word Pairs in Comment in Entire Graph</t>
  </si>
  <si>
    <t>results,search_query</t>
  </si>
  <si>
    <t>james,cook</t>
  </si>
  <si>
    <t>nodexlgraphgallery,org</t>
  </si>
  <si>
    <t>org,pages</t>
  </si>
  <si>
    <t>node,xl</t>
  </si>
  <si>
    <t>network,analysis</t>
  </si>
  <si>
    <t>edge,list</t>
  </si>
  <si>
    <t>smrfoundation,org</t>
  </si>
  <si>
    <t>great,content</t>
  </si>
  <si>
    <t>content,awesome</t>
  </si>
  <si>
    <t>Top Word Pairs in Comment in G1</t>
  </si>
  <si>
    <t>luxmi,verma</t>
  </si>
  <si>
    <t>social,network</t>
  </si>
  <si>
    <t>twitter,api</t>
  </si>
  <si>
    <t>dr,cook</t>
  </si>
  <si>
    <t>Top Word Pairs in Comment in G2</t>
  </si>
  <si>
    <t>Top Word Pairs in Comment in G3</t>
  </si>
  <si>
    <t>search_query,23savebabakansiliwangi</t>
  </si>
  <si>
    <t>23savebabakansiliwangi,#savebabakansiliwangi</t>
  </si>
  <si>
    <t>wondering,filter</t>
  </si>
  <si>
    <t>filter,tweets</t>
  </si>
  <si>
    <t>nodexl,ex</t>
  </si>
  <si>
    <t>ex,results</t>
  </si>
  <si>
    <t>search_query,23adidas</t>
  </si>
  <si>
    <t>23adidas,#adidas</t>
  </si>
  <si>
    <t>#adidas,tweets</t>
  </si>
  <si>
    <t>Top Word Pairs in Comment in G4</t>
  </si>
  <si>
    <t>well,explained</t>
  </si>
  <si>
    <t>million,great</t>
  </si>
  <si>
    <t>awesome,well</t>
  </si>
  <si>
    <t>explained,explanation</t>
  </si>
  <si>
    <t>explanation,simply</t>
  </si>
  <si>
    <t>simply,great</t>
  </si>
  <si>
    <t>great,teachers</t>
  </si>
  <si>
    <t>teachers,hard</t>
  </si>
  <si>
    <t>Top Word Pairs in Comment in G5</t>
  </si>
  <si>
    <t>çok,teşekkür</t>
  </si>
  <si>
    <t>teşekkür,ederim</t>
  </si>
  <si>
    <t>ve,yorumlar</t>
  </si>
  <si>
    <t>umarım,işinizi</t>
  </si>
  <si>
    <t>işinizi,görür</t>
  </si>
  <si>
    <t>iyi,çalışmalar</t>
  </si>
  <si>
    <t>sosyal,ağ</t>
  </si>
  <si>
    <t>ağ,analizi</t>
  </si>
  <si>
    <t>xl,ile</t>
  </si>
  <si>
    <t>Top Word Pairs in Comment in G6</t>
  </si>
  <si>
    <t>tick,tick</t>
  </si>
  <si>
    <t>location,data</t>
  </si>
  <si>
    <t>links,degree</t>
  </si>
  <si>
    <t>Top Word Pairs in Comment in G7</t>
  </si>
  <si>
    <t>dynamic,filters</t>
  </si>
  <si>
    <t>vertices,worksheet</t>
  </si>
  <si>
    <t>592,vertices</t>
  </si>
  <si>
    <t>dynamic,filter</t>
  </si>
  <si>
    <t>faux,vrai</t>
  </si>
  <si>
    <t>filters,window</t>
  </si>
  <si>
    <t>Top Word Pairs in Comment in G8</t>
  </si>
  <si>
    <t>blog,ibpad</t>
  </si>
  <si>
    <t>base,dados</t>
  </si>
  <si>
    <t>nodexl,mas</t>
  </si>
  <si>
    <t>tudo,bem</t>
  </si>
  <si>
    <t>há,muito</t>
  </si>
  <si>
    <t>muito,tempo</t>
  </si>
  <si>
    <t>infelizmente,não</t>
  </si>
  <si>
    <t>não,fiz</t>
  </si>
  <si>
    <t>fiz,continuação</t>
  </si>
  <si>
    <t>ibpad,blog</t>
  </si>
  <si>
    <t>Top Word Pairs in Comment in G9</t>
  </si>
  <si>
    <t>download,attributes</t>
  </si>
  <si>
    <t>attributes,users</t>
  </si>
  <si>
    <t>users,specific</t>
  </si>
  <si>
    <t>specific,facebook</t>
  </si>
  <si>
    <t>facebook,fun</t>
  </si>
  <si>
    <t>fun,page</t>
  </si>
  <si>
    <t>page,like</t>
  </si>
  <si>
    <t>like,hometown</t>
  </si>
  <si>
    <t>hometown,gender</t>
  </si>
  <si>
    <t>gender,birthday</t>
  </si>
  <si>
    <t>Top Word Pairs in Comment in G10</t>
  </si>
  <si>
    <t>codeplex,nodexl</t>
  </si>
  <si>
    <t>nodexl,codeplex</t>
  </si>
  <si>
    <t>archive,codeplex</t>
  </si>
  <si>
    <t>nodexl,archive</t>
  </si>
  <si>
    <t>Top Word Pairs in Comment</t>
  </si>
  <si>
    <t>james,cook  edge,list  network,analysis  smrfoundation,org  nodexlgraphgallery,org  org,pages  luxmi,verma  social,network  twitter,api  dr,cook</t>
  </si>
  <si>
    <t>results,search_query  search_query,23savebabakansiliwangi  23savebabakansiliwangi,#savebabakansiliwangi  wondering,filter  filter,tweets  nodexl,ex  ex,results  search_query,23adidas  23adidas,#adidas  #adidas,tweets</t>
  </si>
  <si>
    <t>great,content  content,awesome  well,explained  million,great  awesome,well  explained,explanation  explanation,simply  simply,great  great,teachers  teachers,hard</t>
  </si>
  <si>
    <t>node,xl  çok,teşekkür  teşekkür,ederim  ve,yorumlar  umarım,işinizi  işinizi,görür  iyi,çalışmalar  sosyal,ağ  ağ,analizi  xl,ile</t>
  </si>
  <si>
    <t>tick,tick  location,data  links,degree</t>
  </si>
  <si>
    <t>dynamic,filters  vertices,worksheet  592,vertices  dynamic,filter  faux,vrai  filters,window</t>
  </si>
  <si>
    <t>blog,ibpad  base,dados  nodexl,mas  tudo,bem  há,muito  muito,tempo  infelizmente,não  não,fiz  fiz,continuação  ibpad,blog</t>
  </si>
  <si>
    <t>download,attributes  attributes,users  users,specific  specific,facebook  facebook,fun  fun,page  page,like  like,hometown  hometown,gender  gender,birthday</t>
  </si>
  <si>
    <t>codeplex,nodexl  nodexl,codeplex  archive,codeplex  nodexl,archive</t>
  </si>
  <si>
    <t>vertices,names</t>
  </si>
  <si>
    <t>drive,google  2020,duv8mcs  data,set  tweets,network  wednesday,01  01,april  april,2020  relationship,tweet  google,file  file,1pbtsxb9</t>
  </si>
  <si>
    <t>james,cook  windows,10</t>
  </si>
  <si>
    <t>amazon,stripbooks  stripbooks,rh  rh,3a6740748011  3a6740748011,2cp_lbr_books_authors_browse  2cp_lbr_books_authors_browse,3atulio  3atulio,kahn  kahn,desc  desc,rank  rank,qid  qid,1637233274</t>
  </si>
  <si>
    <t>twitter,user  connectedaction,nodexl  nodexl,updates  updates,twitter  user,list  list,importer</t>
  </si>
  <si>
    <t>URLs In Comment by Count</t>
  </si>
  <si>
    <t>https://vivianfrancos.com/conoce-tus-mapas-de-audiencia-nodexl/ https://docs.google.com/document/d/1GdYAVkfBXcNrpG_b_EAZwHldbSvUpY3GFjEESWu474c/edit?usp=sharing http://vivianfrancos.com/</t>
  </si>
  <si>
    <t>http://mihkal.indeedsir.com/isfi/ https://twitter.com/mihkal http://www.nodexlgraphgallery.org/Pages/Graph.aspx?graphID=224174 https://drive.google.com/open?id=1dAYfGszD6TI7S6I0vyZt419CBPZe2lwU https://fierbmi.com/ https://drive.google.com/file/d/1PbtSxb9-HpDzskfSC5qh5BHOzSlGEPPF/view?usp=sharing https://www.youtube.com/watch?v=o-D-Duv8Mcs&amp;amp;t=10m24s https://www.youtube.com/watch?v=o-D-Duv8Mcs&amp;amp;t=18m26s https://www.youtube.com/watch?v=o-D-Duv8Mcs&amp;amp;t=09m51s</t>
  </si>
  <si>
    <t>https://www.smrfoundation.org/nodexl/installation/ http://maine.edu/ https://www.youtube.com/watch?v=lbb2lMCSg64 https://nodexlgraphgallery.org/Pages/registration.aspx https://nodexlgraphgallery.org/Pages/registration.asp http://www.amazon.com/Analyzing-Social-Media-Networks-NodeXL/dp/0123822297 http://www.nodexlgraphgallery.org/Pages/Graph.aspx?graphID=57173 https://www.peteraldhous.com/CAR/NodeXL_CAR2012.pdf http://smrfoundation.org/ http://developer.twitter.com/</t>
  </si>
  <si>
    <t>http://download.cnet.com/NodeXL/3001-2077_4-10967171.html http://nodexl.codeplex.com/</t>
  </si>
  <si>
    <t>http://www.youtube.com/results?search_query=%23SaveBabakanSiliwangi http://www.youtube.com/results?search_query=%23SaveBabakan</t>
  </si>
  <si>
    <t>http://www.youtube.com/results?search_query=%23love http://www.youtube.com/results?search_query=%23cupcake</t>
  </si>
  <si>
    <t>http://www.youtube.com/results?search_query=%23BestTeacherIndeed</t>
  </si>
  <si>
    <t>URLs In Comment by Salience</t>
  </si>
  <si>
    <t>https://www.smrfoundation.org/nodexl/installation/ https://www.youtube.com/watch?v=lbb2lMCSg64 https://nodexlgraphgallery.org/Pages/registration.aspx https://nodexlgraphgallery.org/Pages/registration.asp http://www.amazon.com/Analyzing-Social-Media-Networks-NodeXL/dp/0123822297 http://www.nodexlgraphgallery.org/Pages/Graph.aspx?graphID=57173 https://www.peteraldhous.com/CAR/NodeXL_CAR2012.pdf http://maine.edu/ http://smrfoundation.org/ http://developer.twitter.com/</t>
  </si>
  <si>
    <t>http://www.youtube.com/results?search_query=%23SaveBabakan http://www.youtube.com/results?search_query=%23SaveBabakanSiliwangi</t>
  </si>
  <si>
    <t>Domains In Comment by Count</t>
  </si>
  <si>
    <t>vivianfrancos.com google.com</t>
  </si>
  <si>
    <t>google.com youtube.com indeedsir.com twitter.com nodexlgraphgallery.org fierbmi.com</t>
  </si>
  <si>
    <t>nodexlgraphgallery.org smrfoundation.org maine.edu youtube.com amazon.com peteraldhous.com twitter.com</t>
  </si>
  <si>
    <t>cnet.com codeplex.com</t>
  </si>
  <si>
    <t>Domains In Comment by Salience</t>
  </si>
  <si>
    <t>google.com vivianfrancos.com</t>
  </si>
  <si>
    <t>youtube.com google.com indeedsir.com twitter.com nodexlgraphgallery.org fierbmi.com</t>
  </si>
  <si>
    <t>nodexlgraphgallery.org smrfoundation.org youtube.com amazon.com peteraldhous.com maine.edu twitter.com</t>
  </si>
  <si>
    <t>Hashtags In Comment by Count</t>
  </si>
  <si>
    <t>Hashtags In Comment by Salience</t>
  </si>
  <si>
    <t>Top Words in Comment by Count</t>
  </si>
  <si>
    <t>escucha peor</t>
  </si>
  <si>
    <t>post understand download network likes comments show upload gephi nodexl</t>
  </si>
  <si>
    <t>vertices names tutorial brittany downloaded facebook data convert noticed changed</t>
  </si>
  <si>
    <t>profile</t>
  </si>
  <si>
    <t>basically covers basics gephi short</t>
  </si>
  <si>
    <t>gilles havik yeah</t>
  </si>
  <si>
    <t>function longer open source</t>
  </si>
  <si>
    <t>marc tutorial helpful</t>
  </si>
  <si>
    <t>nodexl download data gallery location links degree list edges automatically</t>
  </si>
  <si>
    <t>wish sound learnt thing</t>
  </si>
  <si>
    <t>twitter account dataset acquire</t>
  </si>
  <si>
    <t>cool wonderful tool hats folks</t>
  </si>
  <si>
    <t>vivianfrancos audiencia conoce tus mapas nodexl docs google document 1gdyavkfbxcnrpg_b_eazwhldbsvupy3gfjeeswu474c</t>
  </si>
  <si>
    <t>gracias acompañarnos contarnos tantas cosas interesantes analítica</t>
  </si>
  <si>
    <t>tweets dataset data twitter drive google gephi graph network file</t>
  </si>
  <si>
    <t>fantastic sharing mika</t>
  </si>
  <si>
    <t>visualization trying communicate data</t>
  </si>
  <si>
    <t>location rachit friends guess import network filters present excel generate</t>
  </si>
  <si>
    <t>data nodexl java help</t>
  </si>
  <si>
    <t>nice explanation extract location specific data analysis work software method</t>
  </si>
  <si>
    <t>website mentioned minute 39yxz72qdow 4m08s 08</t>
  </si>
  <si>
    <t>select posts fb nodexl</t>
  </si>
  <si>
    <t>help trying hiiii urgent error twitter user screen microsoft office</t>
  </si>
  <si>
    <t>communities brand well paced thorough introduction professor cook advise focus</t>
  </si>
  <si>
    <t>nodexl twitter data org graph list time vertex network microsoft</t>
  </si>
  <si>
    <t>twitter user updates connectedaction nodexl list importer network updated version</t>
  </si>
  <si>
    <t>great demo</t>
  </si>
  <si>
    <t>step guide lecture nodexl helpful feet wet field</t>
  </si>
  <si>
    <t>cook data stored excel file tweet content mentions author handling</t>
  </si>
  <si>
    <t>download attributes collumns empty users specific facebook fun page like</t>
  </si>
  <si>
    <t>replies specific tweets like tweet account analyze help advance download</t>
  </si>
  <si>
    <t>kak mantab mana yg vide</t>
  </si>
  <si>
    <t>terima kasih</t>
  </si>
  <si>
    <t>kak ada link atau tutor buat instal nodexlnya ngga</t>
  </si>
  <si>
    <t>appreciate putting request shoot future cobalt package white black fare</t>
  </si>
  <si>
    <t>historical tweets timeline download previous share codes collecting specific</t>
  </si>
  <si>
    <t>fantastic time share</t>
  </si>
  <si>
    <t>twitter rtweet error help james great explanation issue code v2</t>
  </si>
  <si>
    <t>nodexl fantástico tulio você tem mais ensinando trabalhar tenho interesse</t>
  </si>
  <si>
    <t>oi não possível abs fiz blog ibpad há muito tempo</t>
  </si>
  <si>
    <t>onde ta continuação desses</t>
  </si>
  <si>
    <t>ola tambem gostaria saber aonde continuação obrigado</t>
  </si>
  <si>
    <t>muito passei parabenizá pelo vídeo estava apanhando tentando aprender sozinho</t>
  </si>
  <si>
    <t>gustavo camargos olá tudo bem também estou fazendo artigo tema</t>
  </si>
  <si>
    <t>tem alguma estou nodexl forma olá ótimo vídeo previsão próximo</t>
  </si>
  <si>
    <t>fazer olá max tudo certo parabéns pelo vídeo muito útil</t>
  </si>
  <si>
    <t>estou nodexl max eu excel autores desenvolvendo artigo bibliometria buscando</t>
  </si>
  <si>
    <t>muuuito obrigada</t>
  </si>
  <si>
    <t>cái lỗi em import user network 01 standard thì nó</t>
  </si>
  <si>
    <t>understand focus slides person</t>
  </si>
  <si>
    <t>bummer missing slides</t>
  </si>
  <si>
    <t>like loop</t>
  </si>
  <si>
    <t>cook effort</t>
  </si>
  <si>
    <t>image sir twitter vertices data circle change label like nodexl</t>
  </si>
  <si>
    <t>james install mac</t>
  </si>
  <si>
    <t>james cook start tom search computer try download version customization</t>
  </si>
  <si>
    <t>james running windows 10 time idea nodexl working operating system</t>
  </si>
  <si>
    <t>james problem installing nodexl window enterprise advice</t>
  </si>
  <si>
    <t>practice problems software work</t>
  </si>
  <si>
    <t>works spanish</t>
  </si>
  <si>
    <t>program explanation learned lot hope advance text mining wish study</t>
  </si>
  <si>
    <t>hey node excel office 13 window worked</t>
  </si>
  <si>
    <t>kindly share process work</t>
  </si>
  <si>
    <t>audio quiet hear laptop speakers maximum</t>
  </si>
  <si>
    <t>install exe file available link pls upload ur google drive</t>
  </si>
  <si>
    <t>nodexl codeplex archive download piyush visit page open shared screenshot</t>
  </si>
  <si>
    <t>tab nodexl show installing running software</t>
  </si>
  <si>
    <t>cool tutorial</t>
  </si>
  <si>
    <t>great tutorial brian</t>
  </si>
  <si>
    <t>helped lot phd</t>
  </si>
  <si>
    <t>merhaba şu ben aynı konu üzerinde bitirme çalışması yapıyorum acaba</t>
  </si>
  <si>
    <t>gerçekten çok teşekkürler yararlı olmuş bitirme projem twitter verileri ile</t>
  </si>
  <si>
    <t>hocam çok güzel olmuş elinize sağlık</t>
  </si>
  <si>
    <t>sümeyye çelik aynı hatayı bende yaşıyorum nasıl çözebilirim</t>
  </si>
  <si>
    <t>bir nodexl 2007 ve download cnet 3001 2077_4 10967171 codeplex</t>
  </si>
  <si>
    <t>nodexlgraphgallery org pages registration ünzile yeşil surdan indirebilirsiniz</t>
  </si>
  <si>
    <t>ben aynısını arıyorum iki sizin yorumu görünce yazayım dedim bulabildiniz</t>
  </si>
  <si>
    <t>hashtag arasında 2020 twitter dan bir belli tarihler veri çekmek</t>
  </si>
  <si>
    <t>analysis start social network kind sir question msc thesis media</t>
  </si>
  <si>
    <t>nodexl generates graphs exported standard jpeg file</t>
  </si>
  <si>
    <t>fade filter graph</t>
  </si>
  <si>
    <t>harel frucherman personal preference</t>
  </si>
  <si>
    <t>extremely helpful</t>
  </si>
  <si>
    <t>link download software nya kok error min</t>
  </si>
  <si>
    <t>link work</t>
  </si>
  <si>
    <t>life saver</t>
  </si>
  <si>
    <t>kellogg send sample data practise nodexl banned twitter importer basic</t>
  </si>
  <si>
    <t>application software graph output help</t>
  </si>
  <si>
    <t>dr cook right preview edges options importing data twitter nodexl</t>
  </si>
  <si>
    <t>nice work</t>
  </si>
  <si>
    <t>written node exl think lot better understandable bit bigger</t>
  </si>
  <si>
    <t>saving ass uploading annoying features available basic version</t>
  </si>
  <si>
    <t>fantastic wait deep dive nodexl</t>
  </si>
  <si>
    <t>daha merhaba hocam bende yüksek lisans tezimde kullanmak istiyorum ama</t>
  </si>
  <si>
    <t>hocam merhaba programı sayenizde yükleyip çalıştırdım doktora tezimde kullanıcam bir</t>
  </si>
  <si>
    <t>ve node xl analizi merhabalar için çok teşekkür ederim sizlerden</t>
  </si>
  <si>
    <t>selam bu konuda yardima ihtiyacim var ulaşabilir misiniz</t>
  </si>
  <si>
    <t>emeğine sağlık kardeşim yeni videolar istiyoruz</t>
  </si>
  <si>
    <t>merhaba mail gelmiyor yazık ki indirdiğimiz veriyi gephi açmak için</t>
  </si>
  <si>
    <t>awful ruins good</t>
  </si>
  <si>
    <t>tick hear clock</t>
  </si>
  <si>
    <t>hear honestly</t>
  </si>
  <si>
    <t>nice greatly appreaciated following</t>
  </si>
  <si>
    <t>cuál data</t>
  </si>
  <si>
    <t>indigree digree account</t>
  </si>
  <si>
    <t>instaled macbook m1 recomended spesification laptop notebook</t>
  </si>
  <si>
    <t>مشكورين</t>
  </si>
  <si>
    <t>من اسباب كل كلامك النظري غير التطبيقي والذي اضعتي فيه</t>
  </si>
  <si>
    <t>couple position nodes software james goode questions softwrare visualise material</t>
  </si>
  <si>
    <t>assignment powerpoint presentation well</t>
  </si>
  <si>
    <t>vertices professor cook well group graphically question good morning professional</t>
  </si>
  <si>
    <t>excellent practicum combined couple theory novice dangerous posting public forum</t>
  </si>
  <si>
    <t>excellent tutorial nodexl sna historical figures antiquity assist immensely</t>
  </si>
  <si>
    <t>managed start finally</t>
  </si>
  <si>
    <t>bunch</t>
  </si>
  <si>
    <t>helpful exploring sna excellent tutorial</t>
  </si>
  <si>
    <t>facebook derek caelin helpful nodexl website purchase program work</t>
  </si>
  <si>
    <t>social facebook herramienta puedo analizar nodexl analyze media networks gracias</t>
  </si>
  <si>
    <t>facebook longer smrfoundation org 2019 09 05 nodexl pro data</t>
  </si>
  <si>
    <t>derek easy extremely useful</t>
  </si>
  <si>
    <t>wonderful insightful absolutely amazing</t>
  </si>
  <si>
    <t>derek intresting cool sofware</t>
  </si>
  <si>
    <t>james cook link download install button suggestion</t>
  </si>
  <si>
    <t>link doesnot work download archives</t>
  </si>
  <si>
    <t>impressing formula node exel graph change like</t>
  </si>
  <si>
    <t>data wonderful network learned lot nodexl sharing social analysis scraping</t>
  </si>
  <si>
    <t>like ask image label character</t>
  </si>
  <si>
    <t>add bidirectional arrow nodexl</t>
  </si>
  <si>
    <t>interactions twitter nodexl graduating social comunication brazil work famous tv</t>
  </si>
  <si>
    <t>results search_query 23savebabakansiliwangi #savebabakansiliwangi network vertices information environmental supposed hand</t>
  </si>
  <si>
    <t>nodexl helpful user started taught lot james walk</t>
  </si>
  <si>
    <t>sharing social network analysis james helpful tutorial mentioned textbook end</t>
  </si>
  <si>
    <t>excellent walk pretty assignment</t>
  </si>
  <si>
    <t>lot tutorial helpful</t>
  </si>
  <si>
    <t>luxmi verma believe topical analysis</t>
  </si>
  <si>
    <t>data james network tweet hashtag column radian results search_query vertex</t>
  </si>
  <si>
    <t>help struggling nodexl vertices spreadsheet email like tutorials ask class</t>
  </si>
  <si>
    <t>extract twitter hashtag week information appreciate help question data active</t>
  </si>
  <si>
    <t>node xl pro consider centrality master thesis gephi opinion betweenness</t>
  </si>
  <si>
    <t>betweeness centrality node influential network</t>
  </si>
  <si>
    <t>twitter 2007 network windows cook nodexl dr ve trying downloaded</t>
  </si>
  <si>
    <t>dr cook set nodexl import tweets limit</t>
  </si>
  <si>
    <t>network nodexl simply export account nodes connected opposed importing data</t>
  </si>
  <si>
    <t>vertices dynamic worksheet understand filters filter nodexl metrics 592 appears</t>
  </si>
  <si>
    <t>twitter followers dr cook nodexl supports pro version like users</t>
  </si>
  <si>
    <t>james life saver results search_query 23bestteacherindeed #bestteacherindeed</t>
  </si>
  <si>
    <t>thx lot informative</t>
  </si>
  <si>
    <t>helpful thankyou</t>
  </si>
  <si>
    <t>accidentally graph reappear james cook work figured view ribbon selected</t>
  </si>
  <si>
    <t>2021 usefull man</t>
  </si>
  <si>
    <t>data outliers james error message edges vertex column blank graph</t>
  </si>
  <si>
    <t>helpful save academic life</t>
  </si>
  <si>
    <t>great resource started nodexl posting</t>
  </si>
  <si>
    <t>guys excellent job</t>
  </si>
  <si>
    <t>build weight edged graph nodexl</t>
  </si>
  <si>
    <t>open source</t>
  </si>
  <si>
    <t>tweets wondering filter nodexl ex results search_query 23adidas #adidas mexico</t>
  </si>
  <si>
    <t>tie real mic moron huge absolutely garbage glad teacher minutes</t>
  </si>
  <si>
    <t>poor sound quality</t>
  </si>
  <si>
    <t>graph right received appearing trying activate keeps pop messages entering</t>
  </si>
  <si>
    <t>good moring insert image node intoa</t>
  </si>
  <si>
    <t>great million content awesome well explained grade explanation simply teachers</t>
  </si>
  <si>
    <t>great job good sound quality</t>
  </si>
  <si>
    <t>social marc smith explains network analysis chat media metrics students</t>
  </si>
  <si>
    <t>Top Words in Comment by Salience</t>
  </si>
  <si>
    <t>download gallery location data links degree list useful graph powermap</t>
  </si>
  <si>
    <t>audiencia vivianfrancos conoce tus mapas nodexl docs google document 1gdyavkfbxcnrpg_b_eazwhldbsvupy3gfjeeswu474c</t>
  </si>
  <si>
    <t>tweets network dataset data twitter drive google 2020 duv8mcs utc</t>
  </si>
  <si>
    <t>twitter data org nodexl graph list workbook microsoft edge vertex</t>
  </si>
  <si>
    <t>tweet content mentions author handling twitter james replying collected manually</t>
  </si>
  <si>
    <t>dr james download attributes collumns empty users specific facebook fun</t>
  </si>
  <si>
    <t>tweets download comments replies specific cook option import twitter coment</t>
  </si>
  <si>
    <t>blog ibpad dados não possível abs fiz há muito tempo</t>
  </si>
  <si>
    <t>autores estou nodexl desenvolvendo artigo bibliometria buscando software possa ajudar</t>
  </si>
  <si>
    <t>start tom search computer try download version customization installed open</t>
  </si>
  <si>
    <t>nodexl 2007 ve download cnet 3001 2077_4 10967171 codeplex hocam</t>
  </si>
  <si>
    <t>node xl analizi sosyal ağ bu pdf ile ağların çizimi</t>
  </si>
  <si>
    <t>couple position nodes james goode questions softwrare visualise material flow</t>
  </si>
  <si>
    <t>vertices group graphically question good morning professional employée nodexl tutorials</t>
  </si>
  <si>
    <t>herramienta puedo analizar nodexl analyze media networks gracias compartir gustaría</t>
  </si>
  <si>
    <t>data network learned nodexl sharing social analysis scraping past couple</t>
  </si>
  <si>
    <t>twitter avkash dr endeavoured analysis graphic inserted import menu search</t>
  </si>
  <si>
    <t>network results search_query vertex tweet column data node hashtag 23love</t>
  </si>
  <si>
    <t>extract hashtag week question data active version limited importing tweets</t>
  </si>
  <si>
    <t>node xl pro consider centrality gephi opinion betweenness criterion closeness</t>
  </si>
  <si>
    <t>network windows dr ve trying downloaded edition installed excel compatible</t>
  </si>
  <si>
    <t>understand filters filter nodexl metrics 592 faux vrai election window</t>
  </si>
  <si>
    <t>dr cook region avkash country tweets wondering filter nodexl ex</t>
  </si>
  <si>
    <t>received graph appearing trying activate keeps pop messages entering license</t>
  </si>
  <si>
    <t>intoa good moring insert image node</t>
  </si>
  <si>
    <t>great best stuff earth explanation simply teachers hard content awesome</t>
  </si>
  <si>
    <t>Top Word Pairs in Comment by Count</t>
  </si>
  <si>
    <t>escucha,peor</t>
  </si>
  <si>
    <t>understand,download  download,post  post,post  post,network  network,likes  likes,comments  comments,show  show,upload  upload,gephi  gephi,nodexl</t>
  </si>
  <si>
    <t>vertices,names  brittany,tutorial  tutorial,downloaded  downloaded,facebook  facebook,data  data,vertices  names,convert  convert,vertices  names,noticed  noticed,tutorial</t>
  </si>
  <si>
    <t>basically,covers  covers,basics  basics,gephi  gephi,short</t>
  </si>
  <si>
    <t>gilles,havik  havik,yeah</t>
  </si>
  <si>
    <t>function,longer  longer,open  open,source</t>
  </si>
  <si>
    <t>marc,tutorial  tutorial,helpful</t>
  </si>
  <si>
    <t>links,degree  location,data  request,nodexl  nodexl,weather  weather,report  degree,links  nodexl,tip  tip,list  list,edges  edges,nodexl</t>
  </si>
  <si>
    <t>wish,sound  sound,learnt  learnt,thing</t>
  </si>
  <si>
    <t>twitter,account  account,dataset  dataset,acquire</t>
  </si>
  <si>
    <t>cool,wonderful  wonderful,tool  tool,hats  hats,folks</t>
  </si>
  <si>
    <t>vivianfrancos,conoce  conoce,tus  tus,mapas  mapas,audiencia  audiencia,nodexl  docs,google  google,document  document,1gdyavkfbxcnrpg_b_eazwhldbsvupy3gfjeeswu474c  1gdyavkfbxcnrpg_b_eazwhldbsvupy3gfjeeswu474c,edit  edit,usp</t>
  </si>
  <si>
    <t>gracias,acompañarnos  acompañarnos,contarnos  contarnos,tantas  tantas,cosas  cosas,interesantes  interesantes,analítica</t>
  </si>
  <si>
    <t>drive,google  2020,duv8mcs  data,set  tweets,network  wednesday,01  01,april  april,2020  relationship,tweet  mihkal,indeedsir  indeedsir,isfi</t>
  </si>
  <si>
    <t>fantastic,sharing  sharing,mika</t>
  </si>
  <si>
    <t>visualization,trying  trying,communicate  communicate,data</t>
  </si>
  <si>
    <t>rachit,location  location,location  location,friends  friends,location  location,guess  guess,import  import,network  network,filters  filters,present  present,excel</t>
  </si>
  <si>
    <t>data,nodexl  nodexl,java  java,help</t>
  </si>
  <si>
    <t>nice,explanation  explanation,extract  extract,location  location,specific  specific,data  data,analysis  analysis,work  work,software  software,method  method,best</t>
  </si>
  <si>
    <t>website,mentioned  mentioned,minute  minute,39yxz72qdow  39yxz72qdow,4m08s  4m08s,08</t>
  </si>
  <si>
    <t>select,posts  posts,fb  fb,nodexl</t>
  </si>
  <si>
    <t>hiiii,help  help,urgent  urgent,trying  trying,error  error,twitter  twitter,user  user,screen  screen,trying  trying,microsoft  microsoft,office</t>
  </si>
  <si>
    <t>well,paced  paced,thorough  thorough,introduction  introduction,professor  professor,cook  cook,advise  advise,communities  communities,focus  focus,sna  sna,brand</t>
  </si>
  <si>
    <t>edge,list  nodexlgraphgallery,org  org,pages  smrfoundation,org  twitter,api  luxmi,verma  pages,registration  org,nodexl  nodexl,installation  microsoft,office</t>
  </si>
  <si>
    <t>twitter,user  connectedaction,nodexl  nodexl,updates  updates,twitter  user,list  list,importer  user,network  network,updated  updated,version  version,like</t>
  </si>
  <si>
    <t>great,demo</t>
  </si>
  <si>
    <t>step,step  step,guide  guide,lecture  lecture,nodexl  nodexl,helpful  helpful,feet  feet,wet  wet,field</t>
  </si>
  <si>
    <t>stored,excel  excel,file  cook,handling  handling,twitter  twitter,data  data,stored  james,cook  cook,cook  cook,replying  replying,data</t>
  </si>
  <si>
    <t>replies,specific  specific,tweet  cook,like  like,option  option,import  import,replies  tweet,specific  specific,twitter  twitter,account  account,analyze</t>
  </si>
  <si>
    <t>mantab,kak  kak,mana  mana,yg  yg,vide  vide,kak</t>
  </si>
  <si>
    <t>terima,kasih</t>
  </si>
  <si>
    <t>kak,ada  ada,link  link,atau  atau,tutor  tutor,buat  buat,instal  instal,nodexlnya  nodexlnya,ngga</t>
  </si>
  <si>
    <t>appreciate,putting  putting,request  request,shoot  shoot,future  future,cobalt  cobalt,package  package,white  white,black  black,fare  fare,well</t>
  </si>
  <si>
    <t>historical,tweets  download,historical  tweets,previous  previous,timeline  timeline,share  share,codes  codes,collecting  collecting,historical  tweets,specific  specific,timeline</t>
  </si>
  <si>
    <t>fantastic,time  time,share</t>
  </si>
  <si>
    <t>james,great  great,explanation  explanation,issue  issue,code  code,twitter  twitter,rtweet  rtweet,v2  v2,api  api,twitter  twitter,error</t>
  </si>
  <si>
    <t>fantástico,tulio  tulio,você  você,tem  tem,mais  mais,ensinando  ensinando,trabalhar  trabalhar,nodexl  nodexl,tenho  tenho,interesse  interesse,em</t>
  </si>
  <si>
    <t>blog,ibpad  há,muito  muito,tempo  ibpad,blog  infelizmente,não  não,fiz  fiz,continuação  oi,cássio  cássio,tudo  tudo,bem</t>
  </si>
  <si>
    <t>onde,ta  ta,continuação  continuação,desses</t>
  </si>
  <si>
    <t>ola,tambem  tambem,gostaria  gostaria,saber  saber,aonde  aonde,continuação  continuação,obrigado</t>
  </si>
  <si>
    <t>passei,parabenizá  parabenizá,pelo  pelo,vídeo  vídeo,estava  estava,apanhando  apanhando,muito  muito,tentando  tentando,aprender  aprender,sozinho  sozinho,alguns</t>
  </si>
  <si>
    <t>gustavo,camargos  camargos,olá  olá,gustavo  gustavo,tudo  tudo,bem  bem,também  também,estou  estou,fazendo  fazendo,artigo  artigo,tema</t>
  </si>
  <si>
    <t>tem,alguma  olá,ótimo  ótimo,vídeo  vídeo,tem  alguma,previsão  previsão,próximo  próximo,estou  estou,fazendo  fazendo,tcc  tcc,politica</t>
  </si>
  <si>
    <t>olá,max  max,tudo  tudo,certo  certo,parabéns  parabéns,pelo  pelo,vídeo  vídeo,muito  muito,útil  útil,sou  sou,biólogo</t>
  </si>
  <si>
    <t>max,estou  estou,desenvolvendo  desenvolvendo,artigo  artigo,bibliometria  bibliometria,estou  estou,buscando  buscando,software  software,possa  possa,ajudar  ajudar,nessa</t>
  </si>
  <si>
    <t>muuuito,obrigada</t>
  </si>
  <si>
    <t>em,import  import,cái  cái,user  user,network  network,01  01,standard  standard,thì  thì,nó  nó,chạy  chạy,ra</t>
  </si>
  <si>
    <t>understand,focus  focus,slides  slides,person</t>
  </si>
  <si>
    <t>bummer,missing  missing,slides</t>
  </si>
  <si>
    <t>like,loop</t>
  </si>
  <si>
    <t>cook,effort</t>
  </si>
  <si>
    <t>sir,twitter  twitter,image  image,vertices  vertices,data  data,circle  circle,change  change,label  label,image  image,like  like,nodexl</t>
  </si>
  <si>
    <t>james,install  install,mac</t>
  </si>
  <si>
    <t>james,cook  cook,start  start,tom  cook,search  search,computer  computer,try  try,download  download,version  version,customization  customization,installed</t>
  </si>
  <si>
    <t>james,running  running,windows  windows,10  10,time  time,idea  idea,nodexl  nodexl,working  working,operating  operating,system</t>
  </si>
  <si>
    <t>james,problem  problem,installing  installing,nodexl  nodexl,window  window,enterprise  enterprise,advice</t>
  </si>
  <si>
    <t>practice,problems  problems,software  software,work</t>
  </si>
  <si>
    <t>works,spanish</t>
  </si>
  <si>
    <t>explanation,learned  learned,lot  lot,hope  hope,advance  advance,program  program,text  text,mining  mining,wish  wish,study  study,topic</t>
  </si>
  <si>
    <t>hey,node  node,excel  excel,office  office,13  13,window  window,worked</t>
  </si>
  <si>
    <t>kindly,share  share,process  process,work</t>
  </si>
  <si>
    <t>audio,quiet  quiet,hear  hear,laptop  laptop,speakers  speakers,maximum</t>
  </si>
  <si>
    <t>install,exe  exe,file  file,available  available,link  link,pls  pls,upload  upload,ur  ur,google  google,drive  drive,share</t>
  </si>
  <si>
    <t>codeplex,nodexl  nodexl,codeplex  archive,codeplex  nodexl,archive  piyush,visit  visit,page  page,nodexl  codeplex,download  download,open  open,archive</t>
  </si>
  <si>
    <t>nodexl,tab  tab,show  show,tab  tab,installing  installing,running  running,software</t>
  </si>
  <si>
    <t>cool,tutorial</t>
  </si>
  <si>
    <t>great,tutorial  tutorial,brian</t>
  </si>
  <si>
    <t>helped,lot  lot,phd</t>
  </si>
  <si>
    <t>merhaba,şu  şu,ben  ben,aynı  aynı,konu  konu,üzerinde  üzerinde,bitirme  bitirme,çalışması  çalışması,yapıyorum  yapıyorum,acaba  acaba,siz</t>
  </si>
  <si>
    <t>gerçekten,çok  çok,teşekkürler  teşekkürler,yararlı  yararlı,olmuş  olmuş,bitirme  bitirme,projem  projem,twitter  twitter,verileri  verileri,ile  ile,duygu</t>
  </si>
  <si>
    <t>hocam,çok  çok,güzel  güzel,olmuş  olmuş,elinize  elinize,sağlık</t>
  </si>
  <si>
    <t>sümeyye,çelik  çelik,aynı  aynı,hatayı  hatayı,bende  bende,yaşıyorum  yaşıyorum,nasıl  nasıl,çözebilirim</t>
  </si>
  <si>
    <t>download,cnet  cnet,nodexl  nodexl,3001  3001,2077_4  2077_4,10967171  nodexl,codeplex  hocam,ücretsiz  ücretsiz,sürümünü  sürümünü,indirip  indirip,kuramadım</t>
  </si>
  <si>
    <t>nodexlgraphgallery,org  org,pages  pages,registration  ünzile,yeşil  yeşil,nodexlgraphgallery  registration,nodexlgraphgallery  registration,surdan  surdan,indirebilirsiniz</t>
  </si>
  <si>
    <t>ben,aynısını  aynısını,arıyorum  arıyorum,iki  iki,sizin  sizin,yorumu  yorumu,görünce  görünce,yazayım  yazayım,dedim  dedim,bulabildiniz</t>
  </si>
  <si>
    <t>twitter,dan  dan,bir  bir,hashtag  hashtag,belli  belli,tarihler  tarihler,arasında  arasında,veri  veri,çekmek  çekmek,istiyorum  istiyorum,hangi</t>
  </si>
  <si>
    <t>network,analysis  sir,question  question,start  start,msc  msc,thesis  thesis,social  social,media  media,network  analysis,start  start,kind</t>
  </si>
  <si>
    <t>nodexl,generates  generates,graphs  graphs,exported  exported,standard  standard,jpeg  jpeg,file</t>
  </si>
  <si>
    <t>fade,filter  filter,graph</t>
  </si>
  <si>
    <t>harel,frucherman  frucherman,personal  personal,preference</t>
  </si>
  <si>
    <t>extremely,helpful</t>
  </si>
  <si>
    <t>link,download  download,software  software,nya  nya,kok  kok,error  error,min</t>
  </si>
  <si>
    <t>link,work</t>
  </si>
  <si>
    <t>life,saver</t>
  </si>
  <si>
    <t>kellogg,send  send,sample  sample,data  data,practise  practise,nodexl  nodexl,banned  banned,twitter  twitter,importer  importer,basic  basic,version</t>
  </si>
  <si>
    <t>application,software  software,graph  graph,output  output,help</t>
  </si>
  <si>
    <t>dr,cook  cook,right  right,preview  preview,edges  edges,options  options,importing  importing,data  data,twitter  twitter,nodexl  nodexl,kind</t>
  </si>
  <si>
    <t>nice,work</t>
  </si>
  <si>
    <t>written,node  node,exl  exl,think  think,lot  lot,better  better,understandable  understandable,bit  bit,bigger</t>
  </si>
  <si>
    <t>saving,ass  ass,uploading  uploading,annoying  annoying,features  features,available  available,basic  basic,version</t>
  </si>
  <si>
    <t>fantastic,wait  wait,deep  deep,dive  dive,nodexl</t>
  </si>
  <si>
    <t>merhaba,hocam  hocam,bende  bende,yüksek  yüksek,lisans  lisans,tezimde  tezimde,kullanmak  kullanmak,istiyorum  istiyorum,ama  ama,daha  daha,çok</t>
  </si>
  <si>
    <t>hocam,merhaba  merhaba,programı  programı,sayenizde  sayenizde,yükleyip  yükleyip,çalıştırdım  çalıştırdım,doktora  doktora,tezimde  tezimde,kullanıcam  kullanıcam,bir  bir,iki</t>
  </si>
  <si>
    <t>selam,bu  bu,konuda  konuda,yardima  yardima,ihtiyacim  ihtiyacim,var  var,ulaşabilir  ulaşabilir,misiniz</t>
  </si>
  <si>
    <t>emeğine,sağlık  sağlık,kardeşim  kardeşim,yeni  yeni,videolar  videolar,istiyoruz</t>
  </si>
  <si>
    <t>merhaba,mail  mail,gelmiyor  gelmiyor,yazık  yazık,ki  indirdiğimiz,veriyi  veriyi,gephi  gephi,açmak  açmak,için  için,hangi  hangi,uzantı</t>
  </si>
  <si>
    <t>awful,ruins  ruins,good</t>
  </si>
  <si>
    <t>tick,tick  hear,clock  clock,tick</t>
  </si>
  <si>
    <t>hear,honestly</t>
  </si>
  <si>
    <t>nice,greatly  greatly,appreaciated  appreaciated,following</t>
  </si>
  <si>
    <t>cuál,data</t>
  </si>
  <si>
    <t>indigree,digree  digree,account</t>
  </si>
  <si>
    <t>instaled,macbook  macbook,m1  m1,recomended  recomended,spesification  spesification,laptop  laptop,notebook</t>
  </si>
  <si>
    <t>اسباب,كل  كل,كلامك  كلامك,النظري  النظري,غير  غير,التطبيقي  التطبيقي,والذي  والذي,اضعتي  اضعتي,فيه  فيه,كثير  كثير,من</t>
  </si>
  <si>
    <t>ممكن,خاص  خاص,او  او,حسابك  حسابك,على  على,تويتر  تويتر,كرما</t>
  </si>
  <si>
    <t>position,nodes  james,goode  goode,couple  couple,questions  questions,softwrare  softwrare,visualise  visualise,material  material,flow  flow,transportation  transportation,goods</t>
  </si>
  <si>
    <t>assignment,powerpoint  powerpoint,presentation  presentation,well</t>
  </si>
  <si>
    <t>good,morning  morning,professor  professor,cook  cook,professional  professional,employée  employée,nodexl  nodexl,tutorials  tutorials,helpful  helpful,easely  easely,understandable</t>
  </si>
  <si>
    <t>excellent,practicum  practicum,combined  combined,couple  couple,theory  theory,novice  novice,dangerous  dangerous,posting  posting,public  public,forum</t>
  </si>
  <si>
    <t>excellent,tutorial  tutorial,nodexl  nodexl,sna  sna,historical  historical,figures  figures,antiquity  antiquity,assist  assist,immensely</t>
  </si>
  <si>
    <t>managed,start  start,finally</t>
  </si>
  <si>
    <t>helpful,exploring  exploring,sna  sna,excellent  excellent,tutorial</t>
  </si>
  <si>
    <t>derek,caelin  caelin,helpful  helpful,nodexl  nodexl,facebook  facebook,website  website,purchase  purchase,program  program,work  work,facebook</t>
  </si>
  <si>
    <t>herramienta,puedo  nodexl,analyze  analyze,social  social,media  media,networks  networks,facebook  gracias,compartir  compartir,gustaría  gustaría,saber  saber,herramienta</t>
  </si>
  <si>
    <t>smrfoundation,org  org,2019  2019,09  09,05  05,nodexl  nodexl,pro  pro,facebook  facebook,data  data,importers  importers,longer</t>
  </si>
  <si>
    <t>derek,easy  easy,extremely  extremely,useful</t>
  </si>
  <si>
    <t>wonderful,insightful  insightful,absolutely  absolutely,amazing</t>
  </si>
  <si>
    <t>derek,intresting  intresting,cool  cool,sofware</t>
  </si>
  <si>
    <t>james,cook  cook,link  link,download  download,install  install,button  button,suggestion</t>
  </si>
  <si>
    <t>link,doesnot  doesnot,work  work,download  download,archives</t>
  </si>
  <si>
    <t>impressing,formula  formula,node  node,exel  exel,graph  graph,change  change,like</t>
  </si>
  <si>
    <t>sharing,wonderful  wonderful,social  social,network  network,analysis  analysis,data  data,scraping  scraping,learned  learned,lot  lot,past  past,couple</t>
  </si>
  <si>
    <t>like,ask  ask,image  image,label  label,character</t>
  </si>
  <si>
    <t>add,bidirectional  bidirectional,arrow  arrow,nodexl</t>
  </si>
  <si>
    <t>graduating,social  social,comunication  comunication,brazil  brazil,work  work,interactions  interactions,famous  famous,tv  tv,show  show,twitter  twitter,nodexl</t>
  </si>
  <si>
    <t>results,search_query  search_query,23savebabakansiliwangi  23savebabakansiliwangi,#savebabakansiliwangi  vertices,supposed  inspiring,information  information,researching  researching,network  network,environmental  environmental,movement  movement,indonesia</t>
  </si>
  <si>
    <t>helpful,nodexl  nodexl,user  user,started  started,nodexl  nodexl,taught  taught,lot  lot,james  james,walk  walk,nodexl</t>
  </si>
  <si>
    <t>social,network  network,analysis  james,helpful  helpful,tutorial  tutorial,sharing  sharing,mentioned  mentioned,social  analysis,textbook  textbook,end  end,mind</t>
  </si>
  <si>
    <t>excellent,walk  walk,pretty  pretty,assignment</t>
  </si>
  <si>
    <t>lot,tutorial  tutorial,helpful</t>
  </si>
  <si>
    <t>luxmi,verma  verma,believe  believe,topical  topical,analysis</t>
  </si>
  <si>
    <t>results,search_query  james,cook  search_query,23love  23love,#love  hashtag,network  node,xl  radian,data  data,tweet  tweet,like  like,results</t>
  </si>
  <si>
    <t>like,tutorials  tutorials,ask  ask,help  help,class  class,struggling  struggling,nodexl  nodexl,assignment  assignment,enter  enter,vertices  vertices,program</t>
  </si>
  <si>
    <t>question,extract  extract,data  data,twitter  twitter,hashtag  hashtag,active  active,week  week,version  version,limited  limited,importing  importing,tweets</t>
  </si>
  <si>
    <t>node,xl  xl,pro  master,thesis  opinion,consider  consider,betweenness  betweenness,centrality  centrality,consider  consider,criterion  criterion,closeness  closeness,centrality</t>
  </si>
  <si>
    <t>betweeness,centrality  centrality,node  node,influential  influential,network</t>
  </si>
  <si>
    <t>dr,cook  cook,ve  ve,trying  trying,nodexl  nodexl,twitter  twitter,downloaded  downloaded,2007  2007,edition  edition,installed  installed,excel</t>
  </si>
  <si>
    <t>dr,cook  cook,set  set,nodexl  nodexl,import  import,tweets  tweets,limit</t>
  </si>
  <si>
    <t>nodexl,simply  simply,export  export,account  account,network  network,nodes  nodes,network  network,connected  connected,opposed  opposed,importing  importing,data</t>
  </si>
  <si>
    <t>dynamic,filters  vertices,worksheet  592,vertices  dynamic,filter  faux,vrai  filters,window  dr,cook  cook,sharing  sharing,methods  methods,absolute</t>
  </si>
  <si>
    <t>dr,cook  cook,nodexl  nodexl,supports  supports,twitter  twitter,pro  pro,version  version,like  like,twitter  twitter,users  users,network</t>
  </si>
  <si>
    <t>james,life  life,saver  saver,results  results,search_query  search_query,23bestteacherindeed  23bestteacherindeed,#bestteacherindeed</t>
  </si>
  <si>
    <t>thx,lot  lot,informative</t>
  </si>
  <si>
    <t>helpful,thankyou</t>
  </si>
  <si>
    <t>accidentally,graph  graph,reappear  james,cook  cook,work  work,figured  figured,view  view,ribbon  ribbon,selected  selected,document  document,actions</t>
  </si>
  <si>
    <t>2021,usefull  usefull,man</t>
  </si>
  <si>
    <t>james,error  error,message  message,edges  edges,data  data,vertex  vertex,column  column,blank  blank,graph  graph,shows  shows,outliers</t>
  </si>
  <si>
    <t>helpful,save  save,academic  academic,life</t>
  </si>
  <si>
    <t>great,resource  resource,started  started,nodexl  nodexl,posting</t>
  </si>
  <si>
    <t>guys,excellent  excellent,job</t>
  </si>
  <si>
    <t>build,weight  weight,edged  edged,graph  graph,nodexl</t>
  </si>
  <si>
    <t>open,source</t>
  </si>
  <si>
    <t>wondering,filter  filter,tweets  nodexl,ex  ex,results  results,search_query  search_query,23adidas  23adidas,#adidas  #adidas,tweets  tweets,mexico  tweets,country</t>
  </si>
  <si>
    <t>real,mic  mic,moron  moron,tie  tie,huge  huge,absolutely  absolutely,garbage  garbage,glad  glad,teacher  teacher,tie  tie,minutes</t>
  </si>
  <si>
    <t>poor,sound  sound,quality</t>
  </si>
  <si>
    <t>graph,appearing  appearing,right  trying,activate  activate,keeps  keeps,pop  pop,messages  messages,entering  entering,license  license,received  received,email</t>
  </si>
  <si>
    <t>good,moring  moring,insert  insert,image  image,node  image,intoa  intoa,node</t>
  </si>
  <si>
    <t>great,job  job,good  good,sound  sound,quality</t>
  </si>
  <si>
    <t>marc,smith  smith,explains  explains,social  social,network  network,analysis  analysis,chat  chat,social  social,media  media,metrics  metrics,students</t>
  </si>
  <si>
    <t>Top Word Pairs in Comment by Salience</t>
  </si>
  <si>
    <t>2020,duv8mcs  drive,google  data,set  tweets,network  wednesday,01  01,april  april,2020  relationship,tweet  mihkal,indeedsir  indeedsir,isfi</t>
  </si>
  <si>
    <t>edge,list  nodexlgraphgallery,org  org,pages  smrfoundation,org  pages,registration  org,nodexl  nodexl,installation  twitter,api  microsoft,office  format,edge</t>
  </si>
  <si>
    <t>cook,handling  handling,twitter  twitter,data  data,stored  james,cook  cook,cook  cook,replying  replying,data  data,collected  collected,manually</t>
  </si>
  <si>
    <t>dr,james  james,download  download,attributes  attributes,users  users,specific  specific,facebook  facebook,fun  fun,page  page,like  like,hometown</t>
  </si>
  <si>
    <t>cook,like  like,option  option,import  import,replies  tweet,specific  specific,twitter  twitter,account  account,analyze  analyze,replies  replies,coment</t>
  </si>
  <si>
    <t>blog,ibpad  ibpad,blog  há,muito  muito,tempo  infelizmente,não  não,fiz  fiz,continuação  oi,cássio  cássio,tudo  tudo,bem</t>
  </si>
  <si>
    <t>cook,start  start,tom  cook,search  search,computer  computer,try  try,download  download,version  version,customization  customization,installed  cook,open</t>
  </si>
  <si>
    <t>node,xl  sosyal,ağ  ağ,analizi  xl,ile  ile,ağların  ağların,çizimi  çizimi,ve  ve,analizi  drive,google  google,file</t>
  </si>
  <si>
    <t>avkash,inspiring  james,inspiring  dr,james  james,information  information,endeavoured  endeavoured,analysis  analysis,environmental  environmental,network  network,twitter  twitter,results</t>
  </si>
  <si>
    <t>results,search_query  search_query,23love  23love,#love  hashtag,network  james,cook  node,xl  radian,data  data,tweet  tweet,like  like,results</t>
  </si>
  <si>
    <t>node,xl  xl,pro  opinion,consider  consider,betweenness  betweenness,centrality  centrality,consider  consider,criterion  criterion,closeness  closeness,centrality  centrality,degree</t>
  </si>
  <si>
    <t>dynamic,filters  592,vertices  dynamic,filter  faux,vrai  filters,window  dr,cook  cook,sharing  sharing,methods  methods,absolute  absolute,beginner</t>
  </si>
  <si>
    <t>dr,cook  cook,wondering  tweets,region  region,nodexl  avkash,wondering  tweets,country  country,nodexl  wondering,filter  filter,tweets  nodexl,ex</t>
  </si>
  <si>
    <t>image,node  image,intoa  intoa,node  good,moring  moring,insert  insert,image</t>
  </si>
  <si>
    <t>million,best  best,stuff  stuff,earth  million,great  awesome,well  explained,explanation  explanation,simply  simply,great  great,teachers  teachers,hard</t>
  </si>
  <si>
    <t>Count of Published At</t>
  </si>
  <si>
    <t>Row Labels</t>
  </si>
  <si>
    <t>Grand Total</t>
  </si>
  <si>
    <t>2009</t>
  </si>
  <si>
    <t>May</t>
  </si>
  <si>
    <t>14-May</t>
  </si>
  <si>
    <t>2010</t>
  </si>
  <si>
    <t>Aug</t>
  </si>
  <si>
    <t>11-Aug</t>
  </si>
  <si>
    <t>Sep</t>
  </si>
  <si>
    <t>16-Sep</t>
  </si>
  <si>
    <t>2011</t>
  </si>
  <si>
    <t>Feb</t>
  </si>
  <si>
    <t>7-Feb</t>
  </si>
  <si>
    <t>9-Aug</t>
  </si>
  <si>
    <t>19-Aug</t>
  </si>
  <si>
    <t>2012</t>
  </si>
  <si>
    <t>Mar</t>
  </si>
  <si>
    <t>1-Mar</t>
  </si>
  <si>
    <t>Apr</t>
  </si>
  <si>
    <t>5-Apr</t>
  </si>
  <si>
    <t>6-Apr</t>
  </si>
  <si>
    <t>18-Apr</t>
  </si>
  <si>
    <t>Jun</t>
  </si>
  <si>
    <t>11-Jun</t>
  </si>
  <si>
    <t>8-Sep</t>
  </si>
  <si>
    <t>9-Sep</t>
  </si>
  <si>
    <t>23-Sep</t>
  </si>
  <si>
    <t>30-Sep</t>
  </si>
  <si>
    <t>Oct</t>
  </si>
  <si>
    <t>16-Oct</t>
  </si>
  <si>
    <t>Jan</t>
  </si>
  <si>
    <t>19-Jan</t>
  </si>
  <si>
    <t>14-Feb</t>
  </si>
  <si>
    <t>20-Feb</t>
  </si>
  <si>
    <t>17-Mar</t>
  </si>
  <si>
    <t>24-Mar</t>
  </si>
  <si>
    <t>28-Mar</t>
  </si>
  <si>
    <t>8-Apr</t>
  </si>
  <si>
    <t>12-Apr</t>
  </si>
  <si>
    <t>25-Apr</t>
  </si>
  <si>
    <t>23-May</t>
  </si>
  <si>
    <t>24-May</t>
  </si>
  <si>
    <t>15-Aug</t>
  </si>
  <si>
    <t>15-Sep</t>
  </si>
  <si>
    <t>4-Oct</t>
  </si>
  <si>
    <t>14-Oct</t>
  </si>
  <si>
    <t>15-Oct</t>
  </si>
  <si>
    <t>27-Oct</t>
  </si>
  <si>
    <t>31-Oct</t>
  </si>
  <si>
    <t>Nov</t>
  </si>
  <si>
    <t>7-Nov</t>
  </si>
  <si>
    <t>9-Nov</t>
  </si>
  <si>
    <t>22-Nov</t>
  </si>
  <si>
    <t>Dec</t>
  </si>
  <si>
    <t>5-Dec</t>
  </si>
  <si>
    <t>12-Dec</t>
  </si>
  <si>
    <t>2014</t>
  </si>
  <si>
    <t>4-Feb</t>
  </si>
  <si>
    <t>4-Apr</t>
  </si>
  <si>
    <t>7-Apr</t>
  </si>
  <si>
    <t>9-May</t>
  </si>
  <si>
    <t>10-May</t>
  </si>
  <si>
    <t>2-Aug</t>
  </si>
  <si>
    <t>10-Aug</t>
  </si>
  <si>
    <t>21-Aug</t>
  </si>
  <si>
    <t>23-Aug</t>
  </si>
  <si>
    <t>1-Sep</t>
  </si>
  <si>
    <t>7-Sep</t>
  </si>
  <si>
    <t>19-Oct</t>
  </si>
  <si>
    <t>3-Dec</t>
  </si>
  <si>
    <t>4-Dec</t>
  </si>
  <si>
    <t>8-Dec</t>
  </si>
  <si>
    <t>2015</t>
  </si>
  <si>
    <t>4-Jan</t>
  </si>
  <si>
    <t>2-Feb</t>
  </si>
  <si>
    <t>19-Feb</t>
  </si>
  <si>
    <t>5-Mar</t>
  </si>
  <si>
    <t>19-Mar</t>
  </si>
  <si>
    <t>2-Apr</t>
  </si>
  <si>
    <t>20-Apr</t>
  </si>
  <si>
    <t>2-May</t>
  </si>
  <si>
    <t>7-May</t>
  </si>
  <si>
    <t>8-May</t>
  </si>
  <si>
    <t>11-May</t>
  </si>
  <si>
    <t>13-May</t>
  </si>
  <si>
    <t>31-May</t>
  </si>
  <si>
    <t>17-Jun</t>
  </si>
  <si>
    <t>18-Jun</t>
  </si>
  <si>
    <t>19-Jun</t>
  </si>
  <si>
    <t>Jul</t>
  </si>
  <si>
    <t>27-Jul</t>
  </si>
  <si>
    <t>28-Jul</t>
  </si>
  <si>
    <t>1-Aug</t>
  </si>
  <si>
    <t>27-Aug</t>
  </si>
  <si>
    <t>3-Sep</t>
  </si>
  <si>
    <t>14-Sep</t>
  </si>
  <si>
    <t>17-Sep</t>
  </si>
  <si>
    <t>3-Oct</t>
  </si>
  <si>
    <t>9-Oct</t>
  </si>
  <si>
    <t>11-Oct</t>
  </si>
  <si>
    <t>17-Oct</t>
  </si>
  <si>
    <t>20-Oct</t>
  </si>
  <si>
    <t>10-Nov</t>
  </si>
  <si>
    <t>14-Nov</t>
  </si>
  <si>
    <t>17-Nov</t>
  </si>
  <si>
    <t>30-Dec</t>
  </si>
  <si>
    <t>2016</t>
  </si>
  <si>
    <t>13-Jan</t>
  </si>
  <si>
    <t>18-Feb</t>
  </si>
  <si>
    <t>23-Feb</t>
  </si>
  <si>
    <t>25-Feb</t>
  </si>
  <si>
    <t>12-Mar</t>
  </si>
  <si>
    <t>23-Mar</t>
  </si>
  <si>
    <t>3-May</t>
  </si>
  <si>
    <t>4-May</t>
  </si>
  <si>
    <t>12-May</t>
  </si>
  <si>
    <t>28-May</t>
  </si>
  <si>
    <t>21-Jun</t>
  </si>
  <si>
    <t>4-Jul</t>
  </si>
  <si>
    <t>5-Jul</t>
  </si>
  <si>
    <t>6-Jul</t>
  </si>
  <si>
    <t>26-Jul</t>
  </si>
  <si>
    <t>3-Aug</t>
  </si>
  <si>
    <t>8-Aug</t>
  </si>
  <si>
    <t>17-Aug</t>
  </si>
  <si>
    <t>30-Aug</t>
  </si>
  <si>
    <t>31-Aug</t>
  </si>
  <si>
    <t>13-Oct</t>
  </si>
  <si>
    <t>6-Dec</t>
  </si>
  <si>
    <t>2017</t>
  </si>
  <si>
    <t>6-Jan</t>
  </si>
  <si>
    <t>7-Jan</t>
  </si>
  <si>
    <t>27-Jan</t>
  </si>
  <si>
    <t>12-Feb</t>
  </si>
  <si>
    <t>2-Mar</t>
  </si>
  <si>
    <t>24-Apr</t>
  </si>
  <si>
    <t>25-May</t>
  </si>
  <si>
    <t>12-Jun</t>
  </si>
  <si>
    <t>30-Jun</t>
  </si>
  <si>
    <t>2-Jul</t>
  </si>
  <si>
    <t>19-Jul</t>
  </si>
  <si>
    <t>29-Jul</t>
  </si>
  <si>
    <t>4-Sep</t>
  </si>
  <si>
    <t>20-Sep</t>
  </si>
  <si>
    <t>27-Sep</t>
  </si>
  <si>
    <t>2-Nov</t>
  </si>
  <si>
    <t>1-Dec</t>
  </si>
  <si>
    <t>2018</t>
  </si>
  <si>
    <t>25-Jan</t>
  </si>
  <si>
    <t>1-Feb</t>
  </si>
  <si>
    <t>9-Feb</t>
  </si>
  <si>
    <t>17-Feb</t>
  </si>
  <si>
    <t>27-Feb</t>
  </si>
  <si>
    <t>22-Mar</t>
  </si>
  <si>
    <t>26-Mar</t>
  </si>
  <si>
    <t>27-Mar</t>
  </si>
  <si>
    <t>10-Apr</t>
  </si>
  <si>
    <t>26-Apr</t>
  </si>
  <si>
    <t>6-May</t>
  </si>
  <si>
    <t>1-Jul</t>
  </si>
  <si>
    <t>8-Jul</t>
  </si>
  <si>
    <t>12-Aug</t>
  </si>
  <si>
    <t>29-Nov</t>
  </si>
  <si>
    <t>1-Jan</t>
  </si>
  <si>
    <t>2-Jan</t>
  </si>
  <si>
    <t>3-Jan</t>
  </si>
  <si>
    <t>12-Jan</t>
  </si>
  <si>
    <t>20-Jan</t>
  </si>
  <si>
    <t>22-Jan</t>
  </si>
  <si>
    <t>11-Mar</t>
  </si>
  <si>
    <t>14-Mar</t>
  </si>
  <si>
    <t>9-Apr</t>
  </si>
  <si>
    <t>13-Apr</t>
  </si>
  <si>
    <t>21-Apr</t>
  </si>
  <si>
    <t>15-May</t>
  </si>
  <si>
    <t>17-Jul</t>
  </si>
  <si>
    <t>30-Jul</t>
  </si>
  <si>
    <t>16-Aug</t>
  </si>
  <si>
    <t>22-Aug</t>
  </si>
  <si>
    <t>12-Oct</t>
  </si>
  <si>
    <t>21-Oct</t>
  </si>
  <si>
    <t>26-Oct</t>
  </si>
  <si>
    <t>30-Nov</t>
  </si>
  <si>
    <t>17-Jan</t>
  </si>
  <si>
    <t>28-Feb</t>
  </si>
  <si>
    <t>3-Mar</t>
  </si>
  <si>
    <t>7-Mar</t>
  </si>
  <si>
    <t>13-Mar</t>
  </si>
  <si>
    <t>3-Apr</t>
  </si>
  <si>
    <t>14-Apr</t>
  </si>
  <si>
    <t>16-May</t>
  </si>
  <si>
    <t>20-May</t>
  </si>
  <si>
    <t>30-May</t>
  </si>
  <si>
    <t>3-Jun</t>
  </si>
  <si>
    <t>13-Jul</t>
  </si>
  <si>
    <t>14-Jul</t>
  </si>
  <si>
    <t>3-Nov</t>
  </si>
  <si>
    <t>18-Nov</t>
  </si>
  <si>
    <t>20-Nov</t>
  </si>
  <si>
    <t>21-Dec</t>
  </si>
  <si>
    <t>2021</t>
  </si>
  <si>
    <t>11-Jan</t>
  </si>
  <si>
    <t>14-Jan</t>
  </si>
  <si>
    <t>26-Jan</t>
  </si>
  <si>
    <t>24-Feb</t>
  </si>
  <si>
    <t>4-Mar</t>
  </si>
  <si>
    <t>27-May</t>
  </si>
  <si>
    <t>22-Jul</t>
  </si>
  <si>
    <t>6-Aug</t>
  </si>
  <si>
    <t>5-Oct</t>
  </si>
  <si>
    <t>6-Oct</t>
  </si>
  <si>
    <t>8-Nov</t>
  </si>
  <si>
    <t>21-Nov</t>
  </si>
  <si>
    <t>2022</t>
  </si>
  <si>
    <t>29-Mar</t>
  </si>
  <si>
    <t>11-Apr</t>
  </si>
  <si>
    <t>19-Apr</t>
  </si>
  <si>
    <t>19-May</t>
  </si>
  <si>
    <t>128, 128, 128</t>
  </si>
  <si>
    <t>135, 121, 121</t>
  </si>
  <si>
    <t>144, 112, 112</t>
  </si>
  <si>
    <t>151, 105, 105</t>
  </si>
  <si>
    <t>167, 89, 89</t>
  </si>
  <si>
    <t>177, 79, 79</t>
  </si>
  <si>
    <t>161, 95, 95</t>
  </si>
  <si>
    <t>193, 62, 62</t>
  </si>
  <si>
    <t>Red</t>
  </si>
  <si>
    <t>G1: nodexl twitter data network james cook tweets like work graph</t>
  </si>
  <si>
    <t>G2: social</t>
  </si>
  <si>
    <t>G3: results search_query nodexl tweets 23savebabakansiliwangi #savebabakansiliwangi graph network vertices lot</t>
  </si>
  <si>
    <t>G4: great million facebook content awesome well explained grade nodexl explanation</t>
  </si>
  <si>
    <t>G5: ve bir çok analizi merhaba ile nasıl node xl hocam</t>
  </si>
  <si>
    <t>G6: nodexl data download tick location gallery powermap edges 3d map</t>
  </si>
  <si>
    <t>G7: vertices dynamic nodexl worksheet understand filter filters helpful help metrics</t>
  </si>
  <si>
    <t>G8: estou nodexl muito possível não oi continuação max eu dados</t>
  </si>
  <si>
    <t>G9: download attributes specific collumns empty location help users facebook fun</t>
  </si>
  <si>
    <t>G10: nodexl codeplex archive tab download kindly share</t>
  </si>
  <si>
    <t>G11: vertices names gephi tutorial post</t>
  </si>
  <si>
    <t>G12: او من</t>
  </si>
  <si>
    <t>G13: kak</t>
  </si>
  <si>
    <t>G15: link</t>
  </si>
  <si>
    <t>G16: slides</t>
  </si>
  <si>
    <t>G17: data tweets dataset twitter google drive gephi graph network file</t>
  </si>
  <si>
    <t>G18: james cook windows 10</t>
  </si>
  <si>
    <t>G20: cái lỗi</t>
  </si>
  <si>
    <t>G21: amazon stripbooks rh 3a6740748011 2cp_lbr_books_authors_browse 3atulio kahn desc rank qid</t>
  </si>
  <si>
    <t>G22: twitter user updates connectedaction nodexl list importer</t>
  </si>
  <si>
    <t>Edge Weight▓1▓17▓0▓True▓Gray▓Red▓▓Edge Weight▓1▓6▓0▓3▓10▓False▓Edge Weight▓1▓6▓0▓40▓15▓False▓▓0▓0▓0▓True▓Black▓Black▓▓Betweenness Centrality▓0▓1044▓3▓150▓1000▓False▓▓0▓0▓0▓0▓0▓False▓▓0▓0▓0▓0▓0▓False▓▓0▓0▓0▓0▓0▓False</t>
  </si>
  <si>
    <t>GraphSource░YouTubeUser▓GraphTerm░NodeXL▓ImportDescription░The graph represents the network of YouTube videos whose title, keywords, description, categories, or author's username contain "NodeXL".  The network was obtained from YouTube on Wednesday, 29 June 2022 at 14:37 UTC.
The network was limited to 100 videos.
There is an edge for each user who comented an a video.  There is an edge for each user who replied to a comment.▓ImportSuggestedTitle░YouTube Users NodeXL▓ImportSuggestedFileNameNoExtension░2022-06-29 14-36-57 NodeXL YouTube Users NodeXL▓GroupingDescription░The graph's vertices were grouped by cluster using the Clauset-Newman-Moore cluster algorithm.▓LayoutAlgorithm░The graph was laid out using the Harel-Koren Fast Multiscale layout algorithm.▓GraphDirectedness░The graph is directed.</t>
  </si>
  <si>
    <t>YouTubeUser</t>
  </si>
  <si>
    <t>The graph represents the network of YouTube videos whose title, keywords, description, categories, or author's username contain "NodeXL".  The network was obtained from YouTube on Wednesday, 29 June 2022 at 14:37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</si>
  <si>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</si>
  <si>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</si>
  <si>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https://nodexlgraphgallery.org/Pages/Graph.aspx?graphID=278774</t>
  </si>
  <si>
    <t>https://nodexlgraphgallery.org/Images/Image.ashx?graphID=278774&amp;type=f</t>
  </si>
  <si>
    <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</si>
</sst>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346463"/>
        <c:axId val="57900440"/>
      </c:barChart>
      <c:catAx>
        <c:axId val="213464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900440"/>
        <c:crosses val="autoZero"/>
        <c:auto val="1"/>
        <c:lblOffset val="100"/>
        <c:noMultiLvlLbl val="0"/>
      </c:catAx>
      <c:valAx>
        <c:axId val="5790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46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Series'!$A$26:$A$431</c:f>
              <c:strCache>
                <c:ptCount val="283"/>
                <c:pt idx="0">
                  <c:v>14-May
May
2009</c:v>
                </c:pt>
                <c:pt idx="1">
                  <c:v>11-Aug
Aug
2010</c:v>
                </c:pt>
                <c:pt idx="2">
                  <c:v>16-Sep
Sep</c:v>
                </c:pt>
                <c:pt idx="3">
                  <c:v>7-Feb
Feb
2011</c:v>
                </c:pt>
                <c:pt idx="4">
                  <c:v>9-Aug
Aug</c:v>
                </c:pt>
                <c:pt idx="5">
                  <c:v>19-Aug</c:v>
                </c:pt>
                <c:pt idx="6">
                  <c:v>1-Mar
Mar
2012</c:v>
                </c:pt>
                <c:pt idx="7">
                  <c:v>5-Apr
Apr</c:v>
                </c:pt>
                <c:pt idx="8">
                  <c:v>6-Apr</c:v>
                </c:pt>
                <c:pt idx="9">
                  <c:v>18-Apr</c:v>
                </c:pt>
                <c:pt idx="10">
                  <c:v>11-Jun
Jun</c:v>
                </c:pt>
                <c:pt idx="11">
                  <c:v>8-Sep
Sep</c:v>
                </c:pt>
                <c:pt idx="12">
                  <c:v>9-Sep</c:v>
                </c:pt>
                <c:pt idx="13">
                  <c:v>23-Sep</c:v>
                </c:pt>
                <c:pt idx="14">
                  <c:v>30-Sep</c:v>
                </c:pt>
                <c:pt idx="15">
                  <c:v>16-Oct
Oct</c:v>
                </c:pt>
                <c:pt idx="16">
                  <c:v>19-Jan
Jan
2013</c:v>
                </c:pt>
                <c:pt idx="17">
                  <c:v>14-Feb
Feb</c:v>
                </c:pt>
                <c:pt idx="18">
                  <c:v>20-Feb</c:v>
                </c:pt>
                <c:pt idx="19">
                  <c:v>17-Mar
Mar</c:v>
                </c:pt>
                <c:pt idx="20">
                  <c:v>24-Mar</c:v>
                </c:pt>
                <c:pt idx="21">
                  <c:v>28-Mar</c:v>
                </c:pt>
                <c:pt idx="22">
                  <c:v>8-Apr
Apr</c:v>
                </c:pt>
                <c:pt idx="23">
                  <c:v>12-Apr</c:v>
                </c:pt>
                <c:pt idx="24">
                  <c:v>25-Apr</c:v>
                </c:pt>
                <c:pt idx="25">
                  <c:v>23-May
May</c:v>
                </c:pt>
                <c:pt idx="26">
                  <c:v>24-May</c:v>
                </c:pt>
                <c:pt idx="27">
                  <c:v>15-Aug
Aug</c:v>
                </c:pt>
                <c:pt idx="28">
                  <c:v>15-Sep
Sep</c:v>
                </c:pt>
                <c:pt idx="29">
                  <c:v>23-Sep</c:v>
                </c:pt>
                <c:pt idx="30">
                  <c:v>4-Oct
Oct</c:v>
                </c:pt>
                <c:pt idx="31">
                  <c:v>14-Oct</c:v>
                </c:pt>
                <c:pt idx="32">
                  <c:v>15-Oct</c:v>
                </c:pt>
                <c:pt idx="33">
                  <c:v>27-Oct</c:v>
                </c:pt>
                <c:pt idx="34">
                  <c:v>31-Oct</c:v>
                </c:pt>
                <c:pt idx="35">
                  <c:v>7-Nov
Nov</c:v>
                </c:pt>
                <c:pt idx="36">
                  <c:v>9-Nov</c:v>
                </c:pt>
                <c:pt idx="37">
                  <c:v>22-Nov</c:v>
                </c:pt>
                <c:pt idx="38">
                  <c:v>5-Dec
Dec</c:v>
                </c:pt>
                <c:pt idx="39">
                  <c:v>12-Dec</c:v>
                </c:pt>
                <c:pt idx="40">
                  <c:v>19-Jan
Jan
2014</c:v>
                </c:pt>
                <c:pt idx="41">
                  <c:v>4-Feb
Feb</c:v>
                </c:pt>
                <c:pt idx="42">
                  <c:v>4-Apr
Apr</c:v>
                </c:pt>
                <c:pt idx="43">
                  <c:v>6-Apr</c:v>
                </c:pt>
                <c:pt idx="44">
                  <c:v>7-Apr</c:v>
                </c:pt>
                <c:pt idx="45">
                  <c:v>9-May
May</c:v>
                </c:pt>
                <c:pt idx="46">
                  <c:v>10-May</c:v>
                </c:pt>
                <c:pt idx="47">
                  <c:v>14-May</c:v>
                </c:pt>
                <c:pt idx="48">
                  <c:v>11-Jun
Jun</c:v>
                </c:pt>
                <c:pt idx="49">
                  <c:v>2-Aug
Aug</c:v>
                </c:pt>
                <c:pt idx="50">
                  <c:v>10-Aug</c:v>
                </c:pt>
                <c:pt idx="51">
                  <c:v>21-Aug</c:v>
                </c:pt>
                <c:pt idx="52">
                  <c:v>23-Aug</c:v>
                </c:pt>
                <c:pt idx="53">
                  <c:v>1-Sep
Sep</c:v>
                </c:pt>
                <c:pt idx="54">
                  <c:v>7-Sep</c:v>
                </c:pt>
                <c:pt idx="55">
                  <c:v>19-Oct
Oct</c:v>
                </c:pt>
                <c:pt idx="56">
                  <c:v>3-Dec
Dec</c:v>
                </c:pt>
                <c:pt idx="57">
                  <c:v>4-Dec</c:v>
                </c:pt>
                <c:pt idx="58">
                  <c:v>8-Dec</c:v>
                </c:pt>
                <c:pt idx="59">
                  <c:v>4-Jan
Jan
2015</c:v>
                </c:pt>
                <c:pt idx="60">
                  <c:v>2-Feb
Feb</c:v>
                </c:pt>
                <c:pt idx="61">
                  <c:v>4-Feb</c:v>
                </c:pt>
                <c:pt idx="62">
                  <c:v>7-Feb</c:v>
                </c:pt>
                <c:pt idx="63">
                  <c:v>14-Feb</c:v>
                </c:pt>
                <c:pt idx="64">
                  <c:v>19-Feb</c:v>
                </c:pt>
                <c:pt idx="65">
                  <c:v>5-Mar
Mar</c:v>
                </c:pt>
                <c:pt idx="66">
                  <c:v>17-Mar</c:v>
                </c:pt>
                <c:pt idx="67">
                  <c:v>19-Mar</c:v>
                </c:pt>
                <c:pt idx="68">
                  <c:v>2-Apr
Apr</c:v>
                </c:pt>
                <c:pt idx="69">
                  <c:v>8-Apr</c:v>
                </c:pt>
                <c:pt idx="70">
                  <c:v>20-Apr</c:v>
                </c:pt>
                <c:pt idx="71">
                  <c:v>2-May
May</c:v>
                </c:pt>
                <c:pt idx="72">
                  <c:v>7-May</c:v>
                </c:pt>
                <c:pt idx="73">
                  <c:v>8-May</c:v>
                </c:pt>
                <c:pt idx="74">
                  <c:v>11-May</c:v>
                </c:pt>
                <c:pt idx="75">
                  <c:v>13-May</c:v>
                </c:pt>
                <c:pt idx="76">
                  <c:v>31-May</c:v>
                </c:pt>
                <c:pt idx="77">
                  <c:v>17-Jun
Jun</c:v>
                </c:pt>
                <c:pt idx="78">
                  <c:v>18-Jun</c:v>
                </c:pt>
                <c:pt idx="79">
                  <c:v>19-Jun</c:v>
                </c:pt>
                <c:pt idx="80">
                  <c:v>27-Jul
Jul</c:v>
                </c:pt>
                <c:pt idx="81">
                  <c:v>28-Jul</c:v>
                </c:pt>
                <c:pt idx="82">
                  <c:v>1-Aug
Aug</c:v>
                </c:pt>
                <c:pt idx="83">
                  <c:v>11-Aug</c:v>
                </c:pt>
                <c:pt idx="84">
                  <c:v>27-Aug</c:v>
                </c:pt>
                <c:pt idx="85">
                  <c:v>1-Sep
Sep</c:v>
                </c:pt>
                <c:pt idx="86">
                  <c:v>3-Sep</c:v>
                </c:pt>
                <c:pt idx="87">
                  <c:v>14-Sep</c:v>
                </c:pt>
                <c:pt idx="88">
                  <c:v>17-Sep</c:v>
                </c:pt>
                <c:pt idx="89">
                  <c:v>3-Oct
Oct</c:v>
                </c:pt>
                <c:pt idx="90">
                  <c:v>9-Oct</c:v>
                </c:pt>
                <c:pt idx="91">
                  <c:v>11-Oct</c:v>
                </c:pt>
                <c:pt idx="92">
                  <c:v>17-Oct</c:v>
                </c:pt>
                <c:pt idx="93">
                  <c:v>20-Oct</c:v>
                </c:pt>
                <c:pt idx="94">
                  <c:v>10-Nov
Nov</c:v>
                </c:pt>
                <c:pt idx="95">
                  <c:v>14-Nov</c:v>
                </c:pt>
                <c:pt idx="96">
                  <c:v>17-Nov</c:v>
                </c:pt>
                <c:pt idx="97">
                  <c:v>3-Dec
Dec</c:v>
                </c:pt>
                <c:pt idx="98">
                  <c:v>12-Dec</c:v>
                </c:pt>
                <c:pt idx="99">
                  <c:v>30-Dec</c:v>
                </c:pt>
                <c:pt idx="100">
                  <c:v>13-Jan
Jan
2016</c:v>
                </c:pt>
                <c:pt idx="101">
                  <c:v>18-Feb
Feb</c:v>
                </c:pt>
                <c:pt idx="102">
                  <c:v>23-Feb</c:v>
                </c:pt>
                <c:pt idx="103">
                  <c:v>25-Feb</c:v>
                </c:pt>
                <c:pt idx="104">
                  <c:v>1-Mar
Mar</c:v>
                </c:pt>
                <c:pt idx="105">
                  <c:v>5-Mar</c:v>
                </c:pt>
                <c:pt idx="106">
                  <c:v>12-Mar</c:v>
                </c:pt>
                <c:pt idx="107">
                  <c:v>19-Mar</c:v>
                </c:pt>
                <c:pt idx="108">
                  <c:v>23-Mar</c:v>
                </c:pt>
                <c:pt idx="109">
                  <c:v>3-May
May</c:v>
                </c:pt>
                <c:pt idx="110">
                  <c:v>4-May</c:v>
                </c:pt>
                <c:pt idx="111">
                  <c:v>9-May</c:v>
                </c:pt>
                <c:pt idx="112">
                  <c:v>10-May</c:v>
                </c:pt>
                <c:pt idx="113">
                  <c:v>11-May</c:v>
                </c:pt>
                <c:pt idx="114">
                  <c:v>12-May</c:v>
                </c:pt>
                <c:pt idx="115">
                  <c:v>23-May</c:v>
                </c:pt>
                <c:pt idx="116">
                  <c:v>28-May</c:v>
                </c:pt>
                <c:pt idx="117">
                  <c:v>31-May</c:v>
                </c:pt>
                <c:pt idx="118">
                  <c:v>21-Jun
Jun</c:v>
                </c:pt>
                <c:pt idx="119">
                  <c:v>4-Jul
Jul</c:v>
                </c:pt>
                <c:pt idx="120">
                  <c:v>5-Jul</c:v>
                </c:pt>
                <c:pt idx="121">
                  <c:v>6-Jul</c:v>
                </c:pt>
                <c:pt idx="122">
                  <c:v>26-Jul</c:v>
                </c:pt>
                <c:pt idx="123">
                  <c:v>3-Aug
Aug</c:v>
                </c:pt>
                <c:pt idx="124">
                  <c:v>8-Aug</c:v>
                </c:pt>
                <c:pt idx="125">
                  <c:v>11-Aug</c:v>
                </c:pt>
                <c:pt idx="126">
                  <c:v>17-Aug</c:v>
                </c:pt>
                <c:pt idx="127">
                  <c:v>30-Aug</c:v>
                </c:pt>
                <c:pt idx="128">
                  <c:v>31-Aug</c:v>
                </c:pt>
                <c:pt idx="129">
                  <c:v>7-Sep
Sep</c:v>
                </c:pt>
                <c:pt idx="130">
                  <c:v>14-Sep</c:v>
                </c:pt>
                <c:pt idx="131">
                  <c:v>13-Oct
Oct</c:v>
                </c:pt>
                <c:pt idx="132">
                  <c:v>14-Oct</c:v>
                </c:pt>
                <c:pt idx="133">
                  <c:v>15-Oct</c:v>
                </c:pt>
                <c:pt idx="134">
                  <c:v>22-Nov
Nov</c:v>
                </c:pt>
                <c:pt idx="135">
                  <c:v>6-Dec
Dec</c:v>
                </c:pt>
                <c:pt idx="136">
                  <c:v>6-Jan
Jan
2017</c:v>
                </c:pt>
                <c:pt idx="137">
                  <c:v>7-Jan</c:v>
                </c:pt>
                <c:pt idx="138">
                  <c:v>19-Jan</c:v>
                </c:pt>
                <c:pt idx="139">
                  <c:v>27-Jan</c:v>
                </c:pt>
                <c:pt idx="140">
                  <c:v>12-Feb
Feb</c:v>
                </c:pt>
                <c:pt idx="141">
                  <c:v>18-Feb</c:v>
                </c:pt>
                <c:pt idx="142">
                  <c:v>20-Feb</c:v>
                </c:pt>
                <c:pt idx="143">
                  <c:v>2-Mar
Mar</c:v>
                </c:pt>
                <c:pt idx="144">
                  <c:v>24-Apr
Apr</c:v>
                </c:pt>
                <c:pt idx="145">
                  <c:v>25-May
May</c:v>
                </c:pt>
                <c:pt idx="146">
                  <c:v>11-Jun
Jun</c:v>
                </c:pt>
                <c:pt idx="147">
                  <c:v>12-Jun</c:v>
                </c:pt>
                <c:pt idx="148">
                  <c:v>19-Jun</c:v>
                </c:pt>
                <c:pt idx="149">
                  <c:v>30-Jun</c:v>
                </c:pt>
                <c:pt idx="150">
                  <c:v>2-Jul
Jul</c:v>
                </c:pt>
                <c:pt idx="151">
                  <c:v>6-Jul</c:v>
                </c:pt>
                <c:pt idx="152">
                  <c:v>19-Jul</c:v>
                </c:pt>
                <c:pt idx="153">
                  <c:v>29-Jul</c:v>
                </c:pt>
                <c:pt idx="154">
                  <c:v>4-Sep
Sep</c:v>
                </c:pt>
                <c:pt idx="155">
                  <c:v>7-Sep</c:v>
                </c:pt>
                <c:pt idx="156">
                  <c:v>20-Sep</c:v>
                </c:pt>
                <c:pt idx="157">
                  <c:v>27-Sep</c:v>
                </c:pt>
                <c:pt idx="158">
                  <c:v>19-Oct
Oct</c:v>
                </c:pt>
                <c:pt idx="159">
                  <c:v>2-Nov
Nov</c:v>
                </c:pt>
                <c:pt idx="160">
                  <c:v>22-Nov</c:v>
                </c:pt>
                <c:pt idx="161">
                  <c:v>1-Dec
Dec</c:v>
                </c:pt>
                <c:pt idx="162">
                  <c:v>25-Jan
Jan
2018</c:v>
                </c:pt>
                <c:pt idx="163">
                  <c:v>1-Feb
Feb</c:v>
                </c:pt>
                <c:pt idx="164">
                  <c:v>9-Feb</c:v>
                </c:pt>
                <c:pt idx="165">
                  <c:v>17-Feb</c:v>
                </c:pt>
                <c:pt idx="166">
                  <c:v>20-Feb</c:v>
                </c:pt>
                <c:pt idx="167">
                  <c:v>27-Feb</c:v>
                </c:pt>
                <c:pt idx="168">
                  <c:v>22-Mar
Mar</c:v>
                </c:pt>
                <c:pt idx="169">
                  <c:v>23-Mar</c:v>
                </c:pt>
                <c:pt idx="170">
                  <c:v>26-Mar</c:v>
                </c:pt>
                <c:pt idx="171">
                  <c:v>27-Mar</c:v>
                </c:pt>
                <c:pt idx="172">
                  <c:v>28-Mar</c:v>
                </c:pt>
                <c:pt idx="173">
                  <c:v>10-Apr
Apr</c:v>
                </c:pt>
                <c:pt idx="174">
                  <c:v>26-Apr</c:v>
                </c:pt>
                <c:pt idx="175">
                  <c:v>6-May
May</c:v>
                </c:pt>
                <c:pt idx="176">
                  <c:v>21-Jun
Jun</c:v>
                </c:pt>
                <c:pt idx="177">
                  <c:v>1-Jul
Jul</c:v>
                </c:pt>
                <c:pt idx="178">
                  <c:v>8-Jul</c:v>
                </c:pt>
                <c:pt idx="179">
                  <c:v>12-Aug
Aug</c:v>
                </c:pt>
                <c:pt idx="180">
                  <c:v>16-Oct
Oct</c:v>
                </c:pt>
                <c:pt idx="181">
                  <c:v>29-Nov
Nov</c:v>
                </c:pt>
                <c:pt idx="182">
                  <c:v>3-Dec
Dec</c:v>
                </c:pt>
                <c:pt idx="183">
                  <c:v>1-Jan
Jan
2019</c:v>
                </c:pt>
                <c:pt idx="184">
                  <c:v>2-Jan</c:v>
                </c:pt>
                <c:pt idx="185">
                  <c:v>3-Jan</c:v>
                </c:pt>
                <c:pt idx="186">
                  <c:v>12-Jan</c:v>
                </c:pt>
                <c:pt idx="187">
                  <c:v>13-Jan</c:v>
                </c:pt>
                <c:pt idx="188">
                  <c:v>19-Jan</c:v>
                </c:pt>
                <c:pt idx="189">
                  <c:v>20-Jan</c:v>
                </c:pt>
                <c:pt idx="190">
                  <c:v>22-Jan</c:v>
                </c:pt>
                <c:pt idx="191">
                  <c:v>1-Feb
Feb</c:v>
                </c:pt>
                <c:pt idx="192">
                  <c:v>11-Mar
Mar</c:v>
                </c:pt>
                <c:pt idx="193">
                  <c:v>12-Mar</c:v>
                </c:pt>
                <c:pt idx="194">
                  <c:v>14-Mar</c:v>
                </c:pt>
                <c:pt idx="195">
                  <c:v>9-Apr
Apr</c:v>
                </c:pt>
                <c:pt idx="196">
                  <c:v>13-Apr</c:v>
                </c:pt>
                <c:pt idx="197">
                  <c:v>21-Apr</c:v>
                </c:pt>
                <c:pt idx="198">
                  <c:v>8-May
May</c:v>
                </c:pt>
                <c:pt idx="199">
                  <c:v>15-May</c:v>
                </c:pt>
                <c:pt idx="200">
                  <c:v>24-May</c:v>
                </c:pt>
                <c:pt idx="201">
                  <c:v>17-Jul
Jul</c:v>
                </c:pt>
                <c:pt idx="202">
                  <c:v>30-Jul</c:v>
                </c:pt>
                <c:pt idx="203">
                  <c:v>1-Aug
Aug</c:v>
                </c:pt>
                <c:pt idx="204">
                  <c:v>16-Aug</c:v>
                </c:pt>
                <c:pt idx="205">
                  <c:v>22-Aug</c:v>
                </c:pt>
                <c:pt idx="206">
                  <c:v>12-Oct
Oct</c:v>
                </c:pt>
                <c:pt idx="207">
                  <c:v>21-Oct</c:v>
                </c:pt>
                <c:pt idx="208">
                  <c:v>26-Oct</c:v>
                </c:pt>
                <c:pt idx="209">
                  <c:v>27-Oct</c:v>
                </c:pt>
                <c:pt idx="210">
                  <c:v>30-Nov
Nov</c:v>
                </c:pt>
                <c:pt idx="211">
                  <c:v>17-Jan
Jan
2020</c:v>
                </c:pt>
                <c:pt idx="212">
                  <c:v>28-Feb
Feb</c:v>
                </c:pt>
                <c:pt idx="213">
                  <c:v>3-Mar
Mar</c:v>
                </c:pt>
                <c:pt idx="214">
                  <c:v>7-Mar</c:v>
                </c:pt>
                <c:pt idx="215">
                  <c:v>12-Mar</c:v>
                </c:pt>
                <c:pt idx="216">
                  <c:v>13-Mar</c:v>
                </c:pt>
                <c:pt idx="217">
                  <c:v>2-Apr
Apr</c:v>
                </c:pt>
                <c:pt idx="218">
                  <c:v>3-Apr</c:v>
                </c:pt>
                <c:pt idx="219">
                  <c:v>14-Apr</c:v>
                </c:pt>
                <c:pt idx="220">
                  <c:v>24-Apr</c:v>
                </c:pt>
                <c:pt idx="221">
                  <c:v>16-May
May</c:v>
                </c:pt>
                <c:pt idx="222">
                  <c:v>20-May</c:v>
                </c:pt>
                <c:pt idx="223">
                  <c:v>30-May</c:v>
                </c:pt>
                <c:pt idx="224">
                  <c:v>3-Jun
Jun</c:v>
                </c:pt>
                <c:pt idx="225">
                  <c:v>1-Jul
Jul</c:v>
                </c:pt>
                <c:pt idx="226">
                  <c:v>13-Jul</c:v>
                </c:pt>
                <c:pt idx="227">
                  <c:v>14-Jul</c:v>
                </c:pt>
                <c:pt idx="228">
                  <c:v>28-Jul</c:v>
                </c:pt>
                <c:pt idx="229">
                  <c:v>4-Oct
Oct</c:v>
                </c:pt>
                <c:pt idx="230">
                  <c:v>3-Nov
Nov</c:v>
                </c:pt>
                <c:pt idx="231">
                  <c:v>17-Nov</c:v>
                </c:pt>
                <c:pt idx="232">
                  <c:v>18-Nov</c:v>
                </c:pt>
                <c:pt idx="233">
                  <c:v>20-Nov</c:v>
                </c:pt>
                <c:pt idx="234">
                  <c:v>3-Dec
Dec</c:v>
                </c:pt>
                <c:pt idx="235">
                  <c:v>21-Dec</c:v>
                </c:pt>
                <c:pt idx="236">
                  <c:v>4-Jan
Jan
2021</c:v>
                </c:pt>
                <c:pt idx="237">
                  <c:v>11-Jan</c:v>
                </c:pt>
                <c:pt idx="238">
                  <c:v>14-Jan</c:v>
                </c:pt>
                <c:pt idx="239">
                  <c:v>26-Jan</c:v>
                </c:pt>
                <c:pt idx="240">
                  <c:v>7-Feb
Feb</c:v>
                </c:pt>
                <c:pt idx="241">
                  <c:v>9-Feb</c:v>
                </c:pt>
                <c:pt idx="242">
                  <c:v>24-Feb</c:v>
                </c:pt>
                <c:pt idx="243">
                  <c:v>4-Mar
Mar</c:v>
                </c:pt>
                <c:pt idx="244">
                  <c:v>7-Mar</c:v>
                </c:pt>
                <c:pt idx="245">
                  <c:v>13-Apr
Apr</c:v>
                </c:pt>
                <c:pt idx="246">
                  <c:v>25-Apr</c:v>
                </c:pt>
                <c:pt idx="247">
                  <c:v>4-May
May</c:v>
                </c:pt>
                <c:pt idx="248">
                  <c:v>6-May</c:v>
                </c:pt>
                <c:pt idx="249">
                  <c:v>7-May</c:v>
                </c:pt>
                <c:pt idx="250">
                  <c:v>12-May</c:v>
                </c:pt>
                <c:pt idx="251">
                  <c:v>27-May</c:v>
                </c:pt>
                <c:pt idx="252">
                  <c:v>31-May</c:v>
                </c:pt>
                <c:pt idx="253">
                  <c:v>22-Jul
Jul</c:v>
                </c:pt>
                <c:pt idx="254">
                  <c:v>6-Aug
Aug</c:v>
                </c:pt>
                <c:pt idx="255">
                  <c:v>27-Sep
Sep</c:v>
                </c:pt>
                <c:pt idx="256">
                  <c:v>3-Oct
Oct</c:v>
                </c:pt>
                <c:pt idx="257">
                  <c:v>5-Oct</c:v>
                </c:pt>
                <c:pt idx="258">
                  <c:v>6-Oct</c:v>
                </c:pt>
                <c:pt idx="259">
                  <c:v>7-Nov
Nov</c:v>
                </c:pt>
                <c:pt idx="260">
                  <c:v>8-Nov</c:v>
                </c:pt>
                <c:pt idx="261">
                  <c:v>18-Nov</c:v>
                </c:pt>
                <c:pt idx="262">
                  <c:v>21-Nov</c:v>
                </c:pt>
                <c:pt idx="263">
                  <c:v>22-Nov</c:v>
                </c:pt>
                <c:pt idx="264">
                  <c:v>6-Dec
Dec</c:v>
                </c:pt>
                <c:pt idx="265">
                  <c:v>7-Jan
Jan
2022</c:v>
                </c:pt>
                <c:pt idx="266">
                  <c:v>13-Jan</c:v>
                </c:pt>
                <c:pt idx="267">
                  <c:v>14-Jan</c:v>
                </c:pt>
                <c:pt idx="268">
                  <c:v>22-Mar
Mar</c:v>
                </c:pt>
                <c:pt idx="269">
                  <c:v>26-Mar</c:v>
                </c:pt>
                <c:pt idx="270">
                  <c:v>29-Mar</c:v>
                </c:pt>
                <c:pt idx="271">
                  <c:v>2-Apr
Apr</c:v>
                </c:pt>
                <c:pt idx="272">
                  <c:v>10-Apr</c:v>
                </c:pt>
                <c:pt idx="273">
                  <c:v>11-Apr</c:v>
                </c:pt>
                <c:pt idx="274">
                  <c:v>12-Apr</c:v>
                </c:pt>
                <c:pt idx="275">
                  <c:v>19-Apr</c:v>
                </c:pt>
                <c:pt idx="276">
                  <c:v>20-Apr</c:v>
                </c:pt>
                <c:pt idx="277">
                  <c:v>21-Apr</c:v>
                </c:pt>
                <c:pt idx="278">
                  <c:v>13-May
May</c:v>
                </c:pt>
                <c:pt idx="279">
                  <c:v>14-May</c:v>
                </c:pt>
                <c:pt idx="280">
                  <c:v>16-May</c:v>
                </c:pt>
                <c:pt idx="281">
                  <c:v>19-May</c:v>
                </c:pt>
                <c:pt idx="282">
                  <c:v>31-May</c:v>
                </c:pt>
              </c:strCache>
            </c:strRef>
          </c:cat>
          <c:val>
            <c:numRef>
              <c:f>'Time Series'!$B$26:$B$431</c:f>
              <c:numCache>
                <c:formatCode>General</c:formatCode>
                <c:ptCount val="283"/>
                <c:pt idx="0">
                  <c:v>1</c:v>
                </c:pt>
                <c:pt idx="1">
                  <c:v>1</c:v>
                </c:pt>
                <c:pt idx="2">
                  <c:v>1</c:v>
                </c:pt>
                <c:pt idx="3">
                  <c:v>1</c:v>
                </c:pt>
                <c:pt idx="4">
                  <c:v>1</c:v>
                </c:pt>
                <c:pt idx="5">
                  <c:v>1</c:v>
                </c:pt>
                <c:pt idx="6">
                  <c:v>1</c:v>
                </c:pt>
                <c:pt idx="7">
                  <c:v>2</c:v>
                </c:pt>
                <c:pt idx="8">
                  <c:v>3</c:v>
                </c:pt>
                <c:pt idx="9">
                  <c:v>1</c:v>
                </c:pt>
                <c:pt idx="10">
                  <c:v>1</c:v>
                </c:pt>
                <c:pt idx="11">
                  <c:v>1</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6</c:v>
                </c:pt>
                <c:pt idx="40">
                  <c:v>2</c:v>
                </c:pt>
                <c:pt idx="41">
                  <c:v>1</c:v>
                </c:pt>
                <c:pt idx="42">
                  <c:v>3</c:v>
                </c:pt>
                <c:pt idx="43">
                  <c:v>1</c:v>
                </c:pt>
                <c:pt idx="44">
                  <c:v>2</c:v>
                </c:pt>
                <c:pt idx="45">
                  <c:v>1</c:v>
                </c:pt>
                <c:pt idx="46">
                  <c:v>2</c:v>
                </c:pt>
                <c:pt idx="47">
                  <c:v>1</c:v>
                </c:pt>
                <c:pt idx="48">
                  <c:v>2</c:v>
                </c:pt>
                <c:pt idx="49">
                  <c:v>1</c:v>
                </c:pt>
                <c:pt idx="50">
                  <c:v>1</c:v>
                </c:pt>
                <c:pt idx="51">
                  <c:v>1</c:v>
                </c:pt>
                <c:pt idx="52">
                  <c:v>1</c:v>
                </c:pt>
                <c:pt idx="53">
                  <c:v>1</c:v>
                </c:pt>
                <c:pt idx="54">
                  <c:v>1</c:v>
                </c:pt>
                <c:pt idx="55">
                  <c:v>1</c:v>
                </c:pt>
                <c:pt idx="56">
                  <c:v>1</c:v>
                </c:pt>
                <c:pt idx="57">
                  <c:v>2</c:v>
                </c:pt>
                <c:pt idx="58">
                  <c:v>2</c:v>
                </c:pt>
                <c:pt idx="59">
                  <c:v>1</c:v>
                </c:pt>
                <c:pt idx="60">
                  <c:v>1</c:v>
                </c:pt>
                <c:pt idx="61">
                  <c:v>1</c:v>
                </c:pt>
                <c:pt idx="62">
                  <c:v>1</c:v>
                </c:pt>
                <c:pt idx="63">
                  <c:v>1</c:v>
                </c:pt>
                <c:pt idx="64">
                  <c:v>1</c:v>
                </c:pt>
                <c:pt idx="65">
                  <c:v>1</c:v>
                </c:pt>
                <c:pt idx="66">
                  <c:v>1</c:v>
                </c:pt>
                <c:pt idx="67">
                  <c:v>4</c:v>
                </c:pt>
                <c:pt idx="68">
                  <c:v>1</c:v>
                </c:pt>
                <c:pt idx="69">
                  <c:v>1</c:v>
                </c:pt>
                <c:pt idx="70">
                  <c:v>3</c:v>
                </c:pt>
                <c:pt idx="71">
                  <c:v>1</c:v>
                </c:pt>
                <c:pt idx="72">
                  <c:v>1</c:v>
                </c:pt>
                <c:pt idx="73">
                  <c:v>1</c:v>
                </c:pt>
                <c:pt idx="74">
                  <c:v>1</c:v>
                </c:pt>
                <c:pt idx="75">
                  <c:v>1</c:v>
                </c:pt>
                <c:pt idx="76">
                  <c:v>1</c:v>
                </c:pt>
                <c:pt idx="77">
                  <c:v>4</c:v>
                </c:pt>
                <c:pt idx="78">
                  <c:v>2</c:v>
                </c:pt>
                <c:pt idx="79">
                  <c:v>1</c:v>
                </c:pt>
                <c:pt idx="80">
                  <c:v>5</c:v>
                </c:pt>
                <c:pt idx="81">
                  <c:v>3</c:v>
                </c:pt>
                <c:pt idx="82">
                  <c:v>1</c:v>
                </c:pt>
                <c:pt idx="83">
                  <c:v>1</c:v>
                </c:pt>
                <c:pt idx="84">
                  <c:v>1</c:v>
                </c:pt>
                <c:pt idx="85">
                  <c:v>1</c:v>
                </c:pt>
                <c:pt idx="86">
                  <c:v>1</c:v>
                </c:pt>
                <c:pt idx="87">
                  <c:v>2</c:v>
                </c:pt>
                <c:pt idx="88">
                  <c:v>1</c:v>
                </c:pt>
                <c:pt idx="89">
                  <c:v>1</c:v>
                </c:pt>
                <c:pt idx="90">
                  <c:v>1</c:v>
                </c:pt>
                <c:pt idx="91">
                  <c:v>2</c:v>
                </c:pt>
                <c:pt idx="92">
                  <c:v>1</c:v>
                </c:pt>
                <c:pt idx="93">
                  <c:v>1</c:v>
                </c:pt>
                <c:pt idx="94">
                  <c:v>1</c:v>
                </c:pt>
                <c:pt idx="95">
                  <c:v>6</c:v>
                </c:pt>
                <c:pt idx="96">
                  <c:v>1</c:v>
                </c:pt>
                <c:pt idx="97">
                  <c:v>1</c:v>
                </c:pt>
                <c:pt idx="98">
                  <c:v>1</c:v>
                </c:pt>
                <c:pt idx="99">
                  <c:v>1</c:v>
                </c:pt>
                <c:pt idx="100">
                  <c:v>1</c:v>
                </c:pt>
                <c:pt idx="101">
                  <c:v>1</c:v>
                </c:pt>
                <c:pt idx="102">
                  <c:v>2</c:v>
                </c:pt>
                <c:pt idx="103">
                  <c:v>1</c:v>
                </c:pt>
                <c:pt idx="104">
                  <c:v>1</c:v>
                </c:pt>
                <c:pt idx="105">
                  <c:v>1</c:v>
                </c:pt>
                <c:pt idx="106">
                  <c:v>1</c:v>
                </c:pt>
                <c:pt idx="107">
                  <c:v>1</c:v>
                </c:pt>
                <c:pt idx="108">
                  <c:v>3</c:v>
                </c:pt>
                <c:pt idx="109">
                  <c:v>2</c:v>
                </c:pt>
                <c:pt idx="110">
                  <c:v>1</c:v>
                </c:pt>
                <c:pt idx="111">
                  <c:v>2</c:v>
                </c:pt>
                <c:pt idx="112">
                  <c:v>1</c:v>
                </c:pt>
                <c:pt idx="113">
                  <c:v>1</c:v>
                </c:pt>
                <c:pt idx="114">
                  <c:v>1</c:v>
                </c:pt>
                <c:pt idx="115">
                  <c:v>1</c:v>
                </c:pt>
                <c:pt idx="116">
                  <c:v>1</c:v>
                </c:pt>
                <c:pt idx="117">
                  <c:v>1</c:v>
                </c:pt>
                <c:pt idx="118">
                  <c:v>1</c:v>
                </c:pt>
                <c:pt idx="119">
                  <c:v>1</c:v>
                </c:pt>
                <c:pt idx="120">
                  <c:v>1</c:v>
                </c:pt>
                <c:pt idx="121">
                  <c:v>1</c:v>
                </c:pt>
                <c:pt idx="122">
                  <c:v>2</c:v>
                </c:pt>
                <c:pt idx="123">
                  <c:v>2</c:v>
                </c:pt>
                <c:pt idx="124">
                  <c:v>1</c:v>
                </c:pt>
                <c:pt idx="125">
                  <c:v>1</c:v>
                </c:pt>
                <c:pt idx="126">
                  <c:v>1</c:v>
                </c:pt>
                <c:pt idx="127">
                  <c:v>1</c:v>
                </c:pt>
                <c:pt idx="128">
                  <c:v>2</c:v>
                </c:pt>
                <c:pt idx="129">
                  <c:v>1</c:v>
                </c:pt>
                <c:pt idx="130">
                  <c:v>1</c:v>
                </c:pt>
                <c:pt idx="131">
                  <c:v>1</c:v>
                </c:pt>
                <c:pt idx="132">
                  <c:v>2</c:v>
                </c:pt>
                <c:pt idx="133">
                  <c:v>1</c:v>
                </c:pt>
                <c:pt idx="134">
                  <c:v>1</c:v>
                </c:pt>
                <c:pt idx="135">
                  <c:v>1</c:v>
                </c:pt>
                <c:pt idx="136">
                  <c:v>2</c:v>
                </c:pt>
                <c:pt idx="137">
                  <c:v>1</c:v>
                </c:pt>
                <c:pt idx="138">
                  <c:v>1</c:v>
                </c:pt>
                <c:pt idx="139">
                  <c:v>1</c:v>
                </c:pt>
                <c:pt idx="140">
                  <c:v>1</c:v>
                </c:pt>
                <c:pt idx="141">
                  <c:v>6</c:v>
                </c:pt>
                <c:pt idx="142">
                  <c:v>2</c:v>
                </c:pt>
                <c:pt idx="143">
                  <c:v>1</c:v>
                </c:pt>
                <c:pt idx="144">
                  <c:v>4</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2</c:v>
                </c:pt>
                <c:pt idx="165">
                  <c:v>1</c:v>
                </c:pt>
                <c:pt idx="166">
                  <c:v>1</c:v>
                </c:pt>
                <c:pt idx="167">
                  <c:v>1</c:v>
                </c:pt>
                <c:pt idx="168">
                  <c:v>1</c:v>
                </c:pt>
                <c:pt idx="169">
                  <c:v>2</c:v>
                </c:pt>
                <c:pt idx="170">
                  <c:v>1</c:v>
                </c:pt>
                <c:pt idx="171">
                  <c:v>1</c:v>
                </c:pt>
                <c:pt idx="172">
                  <c:v>1</c:v>
                </c:pt>
                <c:pt idx="173">
                  <c:v>1</c:v>
                </c:pt>
                <c:pt idx="174">
                  <c:v>1</c:v>
                </c:pt>
                <c:pt idx="175">
                  <c:v>1</c:v>
                </c:pt>
                <c:pt idx="176">
                  <c:v>2</c:v>
                </c:pt>
                <c:pt idx="177">
                  <c:v>1</c:v>
                </c:pt>
                <c:pt idx="178">
                  <c:v>1</c:v>
                </c:pt>
                <c:pt idx="179">
                  <c:v>1</c:v>
                </c:pt>
                <c:pt idx="180">
                  <c:v>1</c:v>
                </c:pt>
                <c:pt idx="181">
                  <c:v>1</c:v>
                </c:pt>
                <c:pt idx="182">
                  <c:v>3</c:v>
                </c:pt>
                <c:pt idx="183">
                  <c:v>1</c:v>
                </c:pt>
                <c:pt idx="184">
                  <c:v>1</c:v>
                </c:pt>
                <c:pt idx="185">
                  <c:v>1</c:v>
                </c:pt>
                <c:pt idx="186">
                  <c:v>1</c:v>
                </c:pt>
                <c:pt idx="187">
                  <c:v>1</c:v>
                </c:pt>
                <c:pt idx="188">
                  <c:v>1</c:v>
                </c:pt>
                <c:pt idx="189">
                  <c:v>1</c:v>
                </c:pt>
                <c:pt idx="190">
                  <c:v>2</c:v>
                </c:pt>
                <c:pt idx="191">
                  <c:v>1</c:v>
                </c:pt>
                <c:pt idx="192">
                  <c:v>2</c:v>
                </c:pt>
                <c:pt idx="193">
                  <c:v>3</c:v>
                </c:pt>
                <c:pt idx="194">
                  <c:v>1</c:v>
                </c:pt>
                <c:pt idx="195">
                  <c:v>1</c:v>
                </c:pt>
                <c:pt idx="196">
                  <c:v>1</c:v>
                </c:pt>
                <c:pt idx="197">
                  <c:v>2</c:v>
                </c:pt>
                <c:pt idx="198">
                  <c:v>1</c:v>
                </c:pt>
                <c:pt idx="199">
                  <c:v>1</c:v>
                </c:pt>
                <c:pt idx="200">
                  <c:v>1</c:v>
                </c:pt>
                <c:pt idx="201">
                  <c:v>3</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2</c:v>
                </c:pt>
                <c:pt idx="217">
                  <c:v>8</c:v>
                </c:pt>
                <c:pt idx="218">
                  <c:v>3</c:v>
                </c:pt>
                <c:pt idx="219">
                  <c:v>1</c:v>
                </c:pt>
                <c:pt idx="220">
                  <c:v>1</c:v>
                </c:pt>
                <c:pt idx="221">
                  <c:v>3</c:v>
                </c:pt>
                <c:pt idx="222">
                  <c:v>2</c:v>
                </c:pt>
                <c:pt idx="223">
                  <c:v>1</c:v>
                </c:pt>
                <c:pt idx="224">
                  <c:v>1</c:v>
                </c:pt>
                <c:pt idx="225">
                  <c:v>1</c:v>
                </c:pt>
                <c:pt idx="226">
                  <c:v>1</c:v>
                </c:pt>
                <c:pt idx="227">
                  <c:v>1</c:v>
                </c:pt>
                <c:pt idx="228">
                  <c:v>1</c:v>
                </c:pt>
                <c:pt idx="229">
                  <c:v>1</c:v>
                </c:pt>
                <c:pt idx="230">
                  <c:v>2</c:v>
                </c:pt>
                <c:pt idx="231">
                  <c:v>1</c:v>
                </c:pt>
                <c:pt idx="232">
                  <c:v>2</c:v>
                </c:pt>
                <c:pt idx="233">
                  <c:v>3</c:v>
                </c:pt>
                <c:pt idx="234">
                  <c:v>1</c:v>
                </c:pt>
                <c:pt idx="235">
                  <c:v>1</c:v>
                </c:pt>
                <c:pt idx="236">
                  <c:v>2</c:v>
                </c:pt>
                <c:pt idx="237">
                  <c:v>1</c:v>
                </c:pt>
                <c:pt idx="238">
                  <c:v>1</c:v>
                </c:pt>
                <c:pt idx="239">
                  <c:v>1</c:v>
                </c:pt>
                <c:pt idx="240">
                  <c:v>2</c:v>
                </c:pt>
                <c:pt idx="241">
                  <c:v>1</c:v>
                </c:pt>
                <c:pt idx="242">
                  <c:v>1</c:v>
                </c:pt>
                <c:pt idx="243">
                  <c:v>1</c:v>
                </c:pt>
                <c:pt idx="244">
                  <c:v>1</c:v>
                </c:pt>
                <c:pt idx="245">
                  <c:v>1</c:v>
                </c:pt>
                <c:pt idx="246">
                  <c:v>1</c:v>
                </c:pt>
                <c:pt idx="247">
                  <c:v>1</c:v>
                </c:pt>
                <c:pt idx="248">
                  <c:v>2</c:v>
                </c:pt>
                <c:pt idx="249">
                  <c:v>2</c:v>
                </c:pt>
                <c:pt idx="250">
                  <c:v>1</c:v>
                </c:pt>
                <c:pt idx="251">
                  <c:v>2</c:v>
                </c:pt>
                <c:pt idx="252">
                  <c:v>1</c:v>
                </c:pt>
                <c:pt idx="253">
                  <c:v>3</c:v>
                </c:pt>
                <c:pt idx="254">
                  <c:v>1</c:v>
                </c:pt>
                <c:pt idx="255">
                  <c:v>1</c:v>
                </c:pt>
                <c:pt idx="256">
                  <c:v>2</c:v>
                </c:pt>
                <c:pt idx="257">
                  <c:v>2</c:v>
                </c:pt>
                <c:pt idx="258">
                  <c:v>2</c:v>
                </c:pt>
                <c:pt idx="259">
                  <c:v>1</c:v>
                </c:pt>
                <c:pt idx="260">
                  <c:v>1</c:v>
                </c:pt>
                <c:pt idx="261">
                  <c:v>1</c:v>
                </c:pt>
                <c:pt idx="262">
                  <c:v>1</c:v>
                </c:pt>
                <c:pt idx="263">
                  <c:v>1</c:v>
                </c:pt>
                <c:pt idx="264">
                  <c:v>1</c:v>
                </c:pt>
                <c:pt idx="265">
                  <c:v>2</c:v>
                </c:pt>
                <c:pt idx="266">
                  <c:v>1</c:v>
                </c:pt>
                <c:pt idx="267">
                  <c:v>3</c:v>
                </c:pt>
                <c:pt idx="268">
                  <c:v>2</c:v>
                </c:pt>
                <c:pt idx="269">
                  <c:v>1</c:v>
                </c:pt>
                <c:pt idx="270">
                  <c:v>1</c:v>
                </c:pt>
                <c:pt idx="271">
                  <c:v>1</c:v>
                </c:pt>
                <c:pt idx="272">
                  <c:v>1</c:v>
                </c:pt>
                <c:pt idx="273">
                  <c:v>1</c:v>
                </c:pt>
                <c:pt idx="274">
                  <c:v>1</c:v>
                </c:pt>
                <c:pt idx="275">
                  <c:v>1</c:v>
                </c:pt>
                <c:pt idx="276">
                  <c:v>5</c:v>
                </c:pt>
                <c:pt idx="277">
                  <c:v>1</c:v>
                </c:pt>
                <c:pt idx="278">
                  <c:v>1</c:v>
                </c:pt>
                <c:pt idx="279">
                  <c:v>1</c:v>
                </c:pt>
                <c:pt idx="280">
                  <c:v>1</c:v>
                </c:pt>
                <c:pt idx="281">
                  <c:v>1</c:v>
                </c:pt>
                <c:pt idx="282">
                  <c:v>1</c:v>
                </c:pt>
              </c:numCache>
            </c:numRef>
          </c:val>
        </c:ser>
        <c:axId val="53996713"/>
        <c:axId val="16208370"/>
      </c:barChart>
      <c:catAx>
        <c:axId val="53996713"/>
        <c:scaling>
          <c:orientation val="minMax"/>
        </c:scaling>
        <c:axPos val="b"/>
        <c:delete val="0"/>
        <c:numFmt formatCode="General" sourceLinked="1"/>
        <c:majorTickMark val="out"/>
        <c:minorTickMark val="none"/>
        <c:tickLblPos val="nextTo"/>
        <c:crossAx val="16208370"/>
        <c:crosses val="autoZero"/>
        <c:auto val="1"/>
        <c:lblOffset val="100"/>
        <c:noMultiLvlLbl val="0"/>
      </c:catAx>
      <c:valAx>
        <c:axId val="16208370"/>
        <c:scaling>
          <c:orientation val="minMax"/>
        </c:scaling>
        <c:axPos val="l"/>
        <c:majorGridlines/>
        <c:delete val="0"/>
        <c:numFmt formatCode="General" sourceLinked="1"/>
        <c:majorTickMark val="out"/>
        <c:minorTickMark val="none"/>
        <c:tickLblPos val="nextTo"/>
        <c:crossAx val="539967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341913"/>
        <c:axId val="59424034"/>
      </c:barChart>
      <c:catAx>
        <c:axId val="51341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24034"/>
        <c:crosses val="autoZero"/>
        <c:auto val="1"/>
        <c:lblOffset val="100"/>
        <c:noMultiLvlLbl val="0"/>
      </c:catAx>
      <c:valAx>
        <c:axId val="59424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1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054259"/>
        <c:axId val="48617420"/>
      </c:barChart>
      <c:catAx>
        <c:axId val="650542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17420"/>
        <c:crosses val="autoZero"/>
        <c:auto val="1"/>
        <c:lblOffset val="100"/>
        <c:noMultiLvlLbl val="0"/>
      </c:catAx>
      <c:valAx>
        <c:axId val="4861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903597"/>
        <c:axId val="45696918"/>
      </c:barChart>
      <c:catAx>
        <c:axId val="349035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96918"/>
        <c:crosses val="autoZero"/>
        <c:auto val="1"/>
        <c:lblOffset val="100"/>
        <c:noMultiLvlLbl val="0"/>
      </c:catAx>
      <c:valAx>
        <c:axId val="45696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19079"/>
        <c:axId val="10462848"/>
      </c:barChart>
      <c:catAx>
        <c:axId val="8619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462848"/>
        <c:crosses val="autoZero"/>
        <c:auto val="1"/>
        <c:lblOffset val="100"/>
        <c:noMultiLvlLbl val="0"/>
      </c:catAx>
      <c:valAx>
        <c:axId val="1046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9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056769"/>
        <c:axId val="42184330"/>
      </c:barChart>
      <c:catAx>
        <c:axId val="270567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184330"/>
        <c:crosses val="autoZero"/>
        <c:auto val="1"/>
        <c:lblOffset val="100"/>
        <c:noMultiLvlLbl val="0"/>
      </c:catAx>
      <c:valAx>
        <c:axId val="42184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6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114651"/>
        <c:axId val="61487540"/>
      </c:barChart>
      <c:catAx>
        <c:axId val="441146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87540"/>
        <c:crosses val="autoZero"/>
        <c:auto val="1"/>
        <c:lblOffset val="100"/>
        <c:noMultiLvlLbl val="0"/>
      </c:catAx>
      <c:valAx>
        <c:axId val="61487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1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16949"/>
        <c:axId val="14434814"/>
      </c:barChart>
      <c:catAx>
        <c:axId val="165169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434814"/>
        <c:crosses val="autoZero"/>
        <c:auto val="1"/>
        <c:lblOffset val="100"/>
        <c:noMultiLvlLbl val="0"/>
      </c:catAx>
      <c:valAx>
        <c:axId val="1443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16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804463"/>
        <c:axId val="28369256"/>
      </c:barChart>
      <c:catAx>
        <c:axId val="62804463"/>
        <c:scaling>
          <c:orientation val="minMax"/>
        </c:scaling>
        <c:axPos val="b"/>
        <c:delete val="1"/>
        <c:majorTickMark val="out"/>
        <c:minorTickMark val="none"/>
        <c:tickLblPos val="none"/>
        <c:crossAx val="28369256"/>
        <c:crosses val="autoZero"/>
        <c:auto val="1"/>
        <c:lblOffset val="100"/>
        <c:noMultiLvlLbl val="0"/>
      </c:catAx>
      <c:valAx>
        <c:axId val="28369256"/>
        <c:scaling>
          <c:orientation val="minMax"/>
        </c:scaling>
        <c:axPos val="l"/>
        <c:delete val="1"/>
        <c:majorTickMark val="out"/>
        <c:minorTickMark val="none"/>
        <c:tickLblPos val="none"/>
        <c:crossAx val="628044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8" refreshedBy="Digital Space Lab" refreshedVersion="8">
  <cacheSource type="worksheet">
    <worksheetSource ref="A2:AP390" sheet="Edges"/>
  </cacheSource>
  <cacheFields count="4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387">
        <d v="2016-05-28T01:18:57.000"/>
        <d v="2013-11-22T14:55:21.000"/>
        <d v="2014-05-10T01:52:38.000"/>
        <d v="2015-03-05T00:33:48.000"/>
        <d v="2015-05-08T11:37:05.000"/>
        <d v="2016-03-19T16:28:58.000"/>
        <d v="2015-12-30T19:43:04.000"/>
        <d v="2015-09-03T10:39:35.000"/>
        <d v="2015-12-12T19:05:27.000"/>
        <d v="2018-03-28T17:54:57.000"/>
        <d v="2020-01-17T14:12:24.000"/>
        <d v="2015-05-13T11:38:15.000"/>
        <d v="2012-03-01T18:19:01.000"/>
        <d v="2020-06-03T14:17:16.000"/>
        <d v="2020-05-20T14:06:10.000"/>
        <d v="2020-04-02T20:21:39.000"/>
        <d v="2020-04-02T19:54:40.000"/>
        <d v="2020-04-03T16:09:25.000"/>
        <d v="2020-04-03T15:48:08.000"/>
        <d v="2012-06-11T03:51:53.000"/>
        <d v="2013-12-05T07:43:21.000"/>
        <d v="2015-02-19T17:04:19.000"/>
        <d v="2015-02-07T09:49:43.000"/>
        <d v="2015-10-09T11:19:26.000"/>
        <d v="2016-05-23T23:30:34.000"/>
        <d v="2016-08-08T10:41:40.000"/>
        <d v="2018-08-12T22:51:51.000"/>
        <d v="2017-07-19T06:29:10.000"/>
        <d v="2013-02-14T10:56:02.000"/>
        <d v="2017-10-19T17:22:23.000"/>
        <d v="2013-04-25T12:43:53.000"/>
        <d v="2013-05-24T23:40:51.000"/>
        <d v="2013-12-12T14:11:22.000"/>
        <d v="2013-12-12T14:47:02.000"/>
        <d v="2013-12-12T16:00:51.000"/>
        <d v="2013-12-12T06:46:55.000"/>
        <d v="2016-08-31T12:19:18.000"/>
        <d v="2016-08-31T12:20:57.000"/>
        <d v="2018-03-23T13:11:16.000"/>
        <d v="2018-03-23T18:55:25.000"/>
        <d v="2018-03-26T00:26:07.000"/>
        <d v="2018-03-27T20:45:52.000"/>
        <d v="2018-03-22T20:46:11.000"/>
        <d v="2019-05-08T08:17:27.000"/>
        <d v="2019-10-21T04:51:13.000"/>
        <d v="2021-09-27T13:02:20.000"/>
        <d v="2021-04-25T15:55:27.000"/>
        <d v="2021-05-06T22:02:17.000"/>
        <d v="2021-05-07T16:57:13.000"/>
        <d v="2021-05-06T22:03:15.000"/>
        <d v="2021-05-31T22:01:27.000"/>
        <d v="2021-11-22T13:48:56.000"/>
        <d v="2021-11-21T01:20:54.000"/>
        <d v="2017-03-02T15:53:11.000"/>
        <d v="2017-02-18T21:04:30.000"/>
        <d v="2013-10-27T15:46:36.000"/>
        <d v="2017-02-18T21:04:24.000"/>
        <d v="2014-08-21T05:03:53.000"/>
        <d v="2017-02-18T21:04:08.000"/>
        <d v="2015-01-04T07:45:35.000"/>
        <d v="2015-10-17T19:48:42.000"/>
        <d v="2017-02-18T21:03:49.000"/>
        <d v="2015-04-08T17:57:26.000"/>
        <d v="2017-02-18T21:03:26.000"/>
        <d v="2017-01-19T19:32:00.000"/>
        <d v="2013-10-15T20:53:03.000"/>
        <d v="2017-02-18T21:02:41.000"/>
        <d v="2017-02-20T01:11:39.000"/>
        <d v="2017-02-20T01:13:42.000"/>
        <d v="2017-02-12T22:34:05.000"/>
        <d v="2018-11-29T16:06:50.000"/>
        <d v="2022-05-13T09:50:44.000"/>
        <d v="2011-08-19T09:00:09.000"/>
        <d v="2020-10-04T06:20:53.000"/>
        <d v="2017-01-27T22:37:14.000"/>
        <d v="2016-03-05T14:19:23.000"/>
        <d v="2021-05-27T13:48:15.000"/>
        <d v="2021-05-27T06:51:32.000"/>
        <d v="2015-09-14T02:04:20.000"/>
        <d v="2015-03-19T22:42:24.000"/>
        <d v="2015-11-14T13:25:17.000"/>
        <d v="2015-11-14T14:36:11.000"/>
        <d v="2015-11-14T16:27:19.000"/>
        <d v="2015-10-11T03:29:51.000"/>
        <d v="2015-11-14T13:52:39.000"/>
        <d v="2015-11-14T14:56:52.000"/>
        <d v="2015-11-14T15:15:08.000"/>
        <d v="2015-10-11T01:47:36.000"/>
        <d v="2016-12-06T01:12:01.000"/>
        <d v="2016-05-10T20:17:16.000"/>
        <d v="2017-05-25T21:10:50.000"/>
        <d v="2018-02-01T14:23:38.000"/>
        <d v="2015-04-02T13:09:45.000"/>
        <d v="2016-06-21T14:16:05.000"/>
        <d v="2017-06-19T14:41:05.000"/>
        <d v="2017-11-22T04:48:31.000"/>
        <d v="2018-07-08T22:21:53.000"/>
        <d v="2019-07-30T00:01:07.000"/>
        <d v="2015-10-20T05:35:04.000"/>
        <d v="2019-03-14T15:29:23.000"/>
        <d v="2022-01-14T16:16:28.000"/>
        <d v="2019-11-30T15:44:04.000"/>
        <d v="2017-11-02T20:50:30.000"/>
        <d v="2018-01-25T19:10:09.000"/>
        <d v="2019-01-03T20:43:22.000"/>
        <d v="2020-04-24T13:33:06.000"/>
        <d v="2018-02-09T15:04:27.000"/>
        <d v="2018-02-09T12:02:28.000"/>
        <d v="2020-11-18T14:28:47.000"/>
        <d v="2020-11-17T22:26:08.000"/>
        <d v="2015-08-01T00:51:09.000"/>
        <d v="2015-05-31T22:36:18.000"/>
        <d v="2015-12-03T20:05:57.000"/>
        <d v="2016-02-25T19:18:07.000"/>
        <d v="2016-11-22T19:14:24.000"/>
        <d v="2017-09-20T04:05:49.000"/>
        <d v="2021-10-03T02:52:56.000"/>
        <d v="2022-03-26T06:56:53.000"/>
        <d v="2016-03-12T03:01:42.000"/>
        <d v="2016-10-15T13:26:00.000"/>
        <d v="2016-07-05T22:49:42.000"/>
        <d v="2016-07-04T16:45:08.000"/>
        <d v="2017-01-06T20:17:01.000"/>
        <d v="2017-01-07T07:17:55.000"/>
        <d v="2017-01-06T18:41:41.000"/>
        <d v="2014-05-14T21:38:27.000"/>
        <d v="2015-08-11T16:29:28.000"/>
        <d v="2019-05-24T17:23:53.000"/>
        <d v="2019-08-16T16:16:43.000"/>
        <d v="2021-12-06T14:34:58.000"/>
        <d v="2019-04-13T22:40:15.000"/>
        <d v="2020-11-18T12:15:39.000"/>
        <d v="2020-03-07T17:25:41.000"/>
        <d v="2021-01-04T23:23:43.000"/>
        <d v="2020-12-21T19:48:17.000"/>
        <d v="2021-02-24T22:45:31.000"/>
        <d v="2022-01-14T22:10:36.000"/>
        <d v="2022-01-14T20:30:12.000"/>
        <d v="2019-03-11T23:00:50.000"/>
        <d v="2013-03-17T04:17:57.000"/>
        <d v="2013-04-12T07:37:14.000"/>
        <d v="2014-05-10T23:56:03.000"/>
        <d v="2021-01-11T02:30:18.000"/>
        <d v="2021-10-05T03:36:40.000"/>
        <d v="2021-10-05T03:32:38.000"/>
        <d v="2020-11-03T22:19:14.000"/>
        <d v="2020-12-03T14:38:14.000"/>
        <d v="2022-03-22T00:29:04.000"/>
        <d v="2020-07-01T20:04:29.000"/>
        <d v="2020-07-28T17:36:46.000"/>
        <d v="2022-05-16T00:20:02.000"/>
        <d v="2014-12-04T18:28:28.000"/>
        <d v="2014-12-08T11:00:48.000"/>
        <d v="2014-12-08T11:01:00.000"/>
        <d v="2014-12-04T15:30:29.000"/>
        <d v="2015-02-14T23:16:49.000"/>
        <d v="2015-04-20T12:34:53.000"/>
        <d v="2015-04-20T14:00:22.000"/>
        <d v="2015-04-20T09:19:50.000"/>
        <d v="2015-08-27T18:51:15.000"/>
        <d v="2015-10-03T19:03:08.000"/>
        <d v="2016-05-31T01:40:59.000"/>
        <d v="2021-03-04T20:33:08.000"/>
        <d v="2022-04-10T05:15:50.000"/>
        <d v="2021-10-06T21:26:35.000"/>
        <d v="2021-07-22T07:48:04.000"/>
        <d v="2021-07-22T06:57:40.000"/>
        <d v="2021-08-06T17:31:07.000"/>
        <d v="2021-10-06T21:31:44.000"/>
        <d v="2021-07-22T06:55:01.000"/>
        <d v="2022-01-07T06:42:18.000"/>
        <d v="2022-01-13T12:03:27.000"/>
        <d v="2022-04-12T16:50:12.000"/>
        <d v="2018-02-27T15:29:57.000"/>
        <d v="2018-04-10T00:20:37.000"/>
        <d v="2019-04-21T17:17:28.000"/>
        <d v="2018-12-03T15:04:14.000"/>
        <d v="2019-04-21T20:58:42.000"/>
        <d v="2018-12-03T02:42:09.000"/>
        <d v="2019-05-15T00:18:15.000"/>
        <d v="2020-05-16T17:14:55.000"/>
        <d v="2020-05-16T18:35:09.000"/>
        <d v="2020-05-16T05:34:33.000"/>
        <d v="2019-08-22T22:02:17.000"/>
        <d v="2020-03-13T18:57:40.000"/>
        <d v="2020-03-13T18:26:48.000"/>
        <d v="2021-05-07T02:11:00.000"/>
        <d v="2022-05-19T12:01:31.000"/>
        <d v="2013-11-09T19:25:28.000"/>
        <d v="2014-04-06T20:36:03.000"/>
        <d v="2014-04-04T15:58:24.000"/>
        <d v="2014-04-04T15:42:36.000"/>
        <d v="2014-04-07T02:18:14.000"/>
        <d v="2014-04-04T15:40:41.000"/>
        <d v="2014-06-11T19:35:15.000"/>
        <d v="2014-05-09T19:45:43.000"/>
        <d v="2014-06-11T19:01:39.000"/>
        <d v="2014-12-03T19:50:03.000"/>
        <d v="2015-02-02T19:39:39.000"/>
        <d v="2015-09-17T23:43:27.000"/>
        <d v="2015-07-27T14:43:04.000"/>
        <d v="2015-07-27T12:36:45.000"/>
        <d v="2015-07-27T13:54:50.000"/>
        <d v="2016-05-03T21:38:37.000"/>
        <d v="2016-05-03T18:17:09.000"/>
        <d v="2016-05-04T07:09:11.000"/>
        <d v="2015-06-17T14:20:02.000"/>
        <d v="2015-06-17T21:14:30.000"/>
        <d v="2015-06-17T21:23:06.000"/>
        <d v="2015-06-18T06:15:43.000"/>
        <d v="2015-06-18T15:07:58.000"/>
        <d v="2015-06-19T09:43:22.000"/>
        <d v="2015-06-17T11:22:47.000"/>
        <d v="2015-07-27T14:53:11.000"/>
        <d v="2015-07-27T13:59:39.000"/>
        <d v="2015-07-28T09:32:03.000"/>
        <d v="2016-03-23T11:31:45.000"/>
        <d v="2016-03-23T21:02:45.000"/>
        <d v="2016-03-23T03:48:35.000"/>
        <d v="2016-05-09T23:10:43.000"/>
        <d v="2016-05-11T18:47:05.000"/>
        <d v="2016-05-12T02:23:40.000"/>
        <d v="2016-05-09T22:21:31.000"/>
        <d v="2018-06-21T15:37:19.000"/>
        <d v="2016-07-06T16:37:52.000"/>
        <d v="2016-07-26T21:13:30.000"/>
        <d v="2016-08-30T21:01:34.000"/>
        <d v="2016-07-26T21:09:51.000"/>
        <d v="2016-10-14T01:18:53.000"/>
        <d v="2016-10-14T01:41:17.000"/>
        <d v="2016-10-13T23:55:13.000"/>
        <d v="2017-07-29T21:12:10.000"/>
        <d v="2017-09-27T17:08:06.000"/>
        <d v="2017-09-07T12:39:14.000"/>
        <d v="2017-12-01T16:03:02.000"/>
        <d v="2018-06-21T15:36:05.000"/>
        <d v="2018-10-16T06:45:00.000"/>
        <d v="2019-10-12T05:29:59.000"/>
        <d v="2020-03-12T07:07:37.000"/>
        <d v="2020-05-30T19:03:07.000"/>
        <d v="2020-11-20T00:12:34.000"/>
        <d v="2020-11-20T01:16:46.000"/>
        <d v="2020-11-20T00:05:26.000"/>
        <d v="2021-01-26T15:46:13.000"/>
        <d v="2021-02-07T21:23:09.000"/>
        <d v="2021-02-07T20:28:15.000"/>
        <d v="2022-01-07T03:20:36.000"/>
        <d v="2022-05-14T04:42:06.000"/>
        <d v="2012-04-18T18:46:16.000"/>
        <d v="2014-01-19T10:05:04.000"/>
        <d v="2014-01-19T10:18:57.000"/>
        <d v="2015-03-17T07:39:48.000"/>
        <d v="2016-02-23T20:36:09.000"/>
        <d v="2017-04-24T19:32:45.000"/>
        <d v="2017-04-24T19:31:11.000"/>
        <d v="2017-04-24T19:33:57.000"/>
        <d v="2017-09-04T22:05:01.000"/>
        <d v="2018-07-01T16:18:46.000"/>
        <d v="2019-01-20T14:04:27.000"/>
        <d v="2019-01-19T11:02:55.000"/>
        <d v="2019-01-01T12:24:14.000"/>
        <d v="2019-01-02T22:46:25.000"/>
        <d v="2019-03-12T23:01:56.000"/>
        <d v="2019-03-12T16:48:24.000"/>
        <d v="2019-03-12T16:46:59.000"/>
        <d v="2022-04-20T11:00:15.000"/>
        <d v="2022-04-20T07:06:19.000"/>
        <d v="2019-07-17T08:17:20.000"/>
        <d v="2022-04-19T21:47:57.000"/>
        <d v="2022-04-21T03:35:12.000"/>
        <d v="2022-04-20T07:12:42.000"/>
        <d v="2022-04-20T07:00:41.000"/>
        <d v="2022-03-22T22:15:40.000"/>
        <d v="2022-04-20T18:32:38.000"/>
        <d v="2019-07-17T08:17:45.000"/>
        <d v="2019-08-01T23:44:52.000"/>
        <d v="2020-02-28T15:28:49.000"/>
        <d v="2010-08-11T21:28:43.000"/>
        <d v="2016-02-18T04:06:42.000"/>
        <d v="2021-11-08T08:49:09.000"/>
        <d v="2018-02-20T11:36:56.000"/>
        <d v="2022-03-29T17:40:44.000"/>
        <d v="2013-05-23T22:43:27.000"/>
        <d v="2015-02-04T20:45:03.000"/>
        <d v="2013-10-14T14:24:36.000"/>
        <d v="2016-08-17T23:45:22.000"/>
        <d v="2016-09-07T19:24:27.000"/>
        <d v="2015-05-11T19:21:31.000"/>
        <d v="2021-10-03T21:53:49.000"/>
        <d v="2009-05-14T16:40:27.000"/>
        <d v="2016-03-01T18:55:49.000"/>
        <d v="2013-01-19T16:20:49.000"/>
        <d v="2020-04-02T17:02:03.000"/>
        <d v="2020-04-02T17:02:32.000"/>
        <d v="2020-04-02T17:04:21.000"/>
        <d v="2020-04-02T17:19:57.000"/>
        <d v="2020-04-02T20:19:30.000"/>
        <d v="2020-04-03T11:11:28.000"/>
        <d v="2020-04-02T16:54:09.000"/>
        <d v="2012-04-05T20:27:42.000"/>
        <d v="2012-04-05T15:59:01.000"/>
        <d v="2013-11-07T12:55:03.000"/>
        <d v="2017-06-30T01:35:10.000"/>
        <d v="2018-05-06T21:32:24.000"/>
        <d v="2015-07-28T02:20:21.000"/>
        <d v="2015-07-28T02:17:11.000"/>
        <d v="2019-10-26T16:52:11.000"/>
        <d v="2020-05-20T07:31:30.000"/>
        <d v="2019-10-27T11:09:11.000"/>
        <d v="2014-09-01T18:32:41.000"/>
        <d v="2014-08-10T00:30:22.000"/>
        <d v="2014-08-23T23:50:00.000"/>
        <d v="2014-08-02T21:38:36.000"/>
        <d v="2014-10-19T00:15:25.000"/>
        <d v="2014-09-07T05:01:41.000"/>
        <d v="2016-08-03T18:44:07.000"/>
        <d v="2016-08-03T17:10:09.000"/>
        <d v="2016-08-11T21:53:45.000"/>
        <d v="2015-05-02T03:50:17.000"/>
        <d v="2013-03-28T19:39:28.000"/>
        <d v="2021-11-18T12:08:32.000"/>
        <d v="2016-01-13T15:19:17.000"/>
        <d v="2012-10-16T07:38:38.000"/>
        <d v="2021-11-07T08:37:10.000"/>
        <d v="2019-01-22T22:03:02.000"/>
        <d v="2019-01-22T21:58:58.000"/>
        <d v="2021-03-07T03:47:21.000"/>
        <d v="2020-07-13T06:44:15.000"/>
        <d v="2011-08-09T17:04:02.000"/>
        <d v="2020-04-14T07:08:58.000"/>
        <d v="2015-05-07T06:27:21.000"/>
        <d v="2017-04-24T23:26:13.000"/>
        <d v="2013-12-12T18:58:38.000"/>
        <d v="2013-12-12T18:43:25.000"/>
        <d v="2016-09-14T23:43:51.000"/>
        <d v="2021-05-04T14:00:14.000"/>
        <d v="2018-02-17T22:24:11.000"/>
        <d v="2016-02-23T14:03:10.000"/>
        <d v="2015-03-19T21:47:47.000"/>
        <d v="2015-03-19T21:47:13.000"/>
        <d v="2015-03-19T21:46:32.000"/>
        <d v="2013-02-20T02:45:15.000"/>
        <d v="2011-02-07T14:45:00.000"/>
        <d v="2019-04-09T18:37:18.000"/>
        <d v="2021-01-04T23:21:27.000"/>
        <d v="2019-03-11T13:09:49.000"/>
        <d v="2022-04-11T14:09:20.000"/>
        <d v="2019-02-01T19:05:48.000"/>
        <d v="2012-09-09T16:21:47.000"/>
        <d v="2015-09-01T21:23:37.000"/>
        <d v="2018-04-26T17:52:47.000"/>
        <d v="2017-07-02T19:46:19.000"/>
        <d v="2017-06-12T21:26:23.000"/>
        <d v="2017-06-11T16:51:46.000"/>
        <d v="2019-01-12T23:19:06.000"/>
        <d v="2010-09-16T00:38:19.000"/>
        <d v="2019-01-13T06:52:19.000"/>
        <d v="2013-08-15T11:41:55.000"/>
        <d v="2022-04-02T21:14:00.000"/>
        <d v="2021-05-12T19:53:48.000"/>
        <d v="2020-03-03T13:10:56.000"/>
        <d v="2021-01-14T04:52:41.000"/>
        <d v="2022-05-31T16:49:42.000"/>
        <d v="2020-07-14T15:58:43.000"/>
        <d v="2017-07-06T15:50:05.000"/>
        <d v="2020-11-03T18:45:01.000"/>
        <d v="2021-02-09T17:24:20.000"/>
        <d v="2012-09-09T20:24:54.000"/>
        <d v="2013-10-04T13:03:09.000"/>
        <d v="2018-12-03T15:03:26.000"/>
        <d v="2014-04-07T22:16:24.000"/>
        <d v="2012-09-30T13:27:42.000"/>
        <d v="2012-09-23T23:30:22.000"/>
        <d v="2021-04-13T04:22:39.000"/>
        <d v="2013-10-31T19:52:13.000"/>
        <d v="2013-09-15T13:09:32.000"/>
        <d v="2015-11-17T05:22:34.000"/>
        <d v="2014-02-04T03:37:32.000"/>
        <d v="2015-11-10T05:55:32.000"/>
        <d v="2012-09-08T23:08:31.000"/>
        <d v="2013-03-24T21:45:10.000"/>
        <d v="2015-09-14T04:14:21.000"/>
        <d v="2013-09-23T23:40:52.000"/>
        <d v="2013-04-08T12:07:29.000"/>
        <d v="2012-04-06T23:40:11.000"/>
        <d v="2012-04-06T23:04:57.000"/>
        <d v="2012-04-06T22:36:35.000"/>
      </sharedItems>
      <fieldGroup par="43" base="25">
        <rangePr groupBy="days" autoEnd="1" autoStart="1" startDate="2009-05-14T16:40:27.000" endDate="2022-05-31T16:49:42.000"/>
        <groupItems count="368">
          <s v="&lt;5/14/200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1/2022"/>
        </groupItems>
      </fieldGroup>
    </cacheField>
    <cacheField name="Updated At">
      <sharedItems containsDate="1" containsString="0" containsBlank="1" containsMixedTypes="0" count="0"/>
    </cacheField>
    <cacheField name="URLs In Comment">
      <sharedItems containsBlank="1" containsMixedTypes="0" longText="1"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09-05-14T16:40:27.000" endDate="2022-05-31T16:49:42.000"/>
        <groupItems count="14">
          <s v="&lt;5/14/2009"/>
          <s v="Jan"/>
          <s v="Feb"/>
          <s v="Mar"/>
          <s v="Apr"/>
          <s v="May"/>
          <s v="Jun"/>
          <s v="Jul"/>
          <s v="Aug"/>
          <s v="Sep"/>
          <s v="Oct"/>
          <s v="Nov"/>
          <s v="Dec"/>
          <s v="&gt;5/31/2022"/>
        </groupItems>
      </fieldGroup>
    </cacheField>
    <cacheField name="Years" databaseField="0">
      <sharedItems containsMixedTypes="0" count="0"/>
      <fieldGroup base="25">
        <rangePr groupBy="years" autoEnd="1" autoStart="1" startDate="2009-05-14T16:40:27.000" endDate="2022-05-31T16:49:42.000"/>
        <groupItems count="16">
          <s v="&lt;5/14/2009"/>
          <s v="2009"/>
          <s v="2010"/>
          <s v="2011"/>
          <s v="2012"/>
          <s v="2013"/>
          <s v="2014"/>
          <s v="2015"/>
          <s v="2016"/>
          <s v="2017"/>
          <s v="2018"/>
          <s v="2019"/>
          <s v="2020"/>
          <s v="2021"/>
          <s v="2022"/>
          <s v="&gt;5/31/2022"/>
        </groupItems>
      </fieldGroup>
    </cacheField>
  </cacheFields>
  <extLst>
    <ext xmlns:x14="http://schemas.microsoft.com/office/spreadsheetml/2009/9/main" uri="{725AE2AE-9491-48be-B2B4-4EB974FC3084}">
      <x14:pivotCacheDefinition pivotCacheId="1139235642"/>
    </ext>
  </extLst>
</pivotCacheDefinition>
</file>

<file path=xl/pivotCache/pivotCacheRecords1.xml><?xml version="1.0" encoding="utf-8"?>
<pivotCacheRecords xmlns="http://schemas.openxmlformats.org/spreadsheetml/2006/main" xmlns:r="http://schemas.openxmlformats.org/officeDocument/2006/relationships" count="388">
  <r>
    <s v="UCdmhCH2BrYLQeiYzykYSBlA"/>
    <s v="UCl3_JxeNm227rFEceAPDi7A"/>
    <m/>
    <m/>
    <m/>
    <m/>
    <m/>
    <m/>
    <m/>
    <m/>
    <s v="No"/>
    <n v="3"/>
    <m/>
    <m/>
    <s v="Commented Video"/>
    <x v="0"/>
    <s v="se escucha de lo peor"/>
    <s v="UCdmhCH2BrYLQeiYzykYSBlA"/>
    <s v="Gustavo Moreno"/>
    <s v="http://www.youtube.com/channel/UCdmhCH2BrYLQeiYzykYSBlA"/>
    <m/>
    <s v="vi01cIzeiqw"/>
    <s v="https://www.youtube.com/watch?v=vi01cIzeiqw"/>
    <s v="none"/>
    <n v="0"/>
    <x v="0"/>
    <d v="2016-05-28T01:18:57.000"/>
    <m/>
    <m/>
    <s v=""/>
    <n v="1"/>
    <s v="25"/>
    <s v="25"/>
    <n v="0"/>
    <n v="0"/>
    <n v="0"/>
    <n v="0"/>
    <n v="0"/>
    <n v="0"/>
    <n v="5"/>
    <n v="100"/>
    <n v="5"/>
  </r>
  <r>
    <s v="UCEm5HlGvJXSCTKsFxWih04g"/>
    <s v="UCoB94ow_SQUv369e2uhOXSw"/>
    <m/>
    <m/>
    <m/>
    <m/>
    <m/>
    <m/>
    <m/>
    <m/>
    <s v="No"/>
    <n v="4"/>
    <m/>
    <m/>
    <s v="Commented Video"/>
    <x v="0"/>
    <s v="Thanks for the video, but actually I don&amp;#39;t understand why you download Post-Post Network &amp;quot;likes &amp;amp; comments&amp;quot; that seems to not show the name, and then upload in gephi another nodexl file. Could you explain better please? Thank you very much in advance"/>
    <s v="UCEm5HlGvJXSCTKsFxWih04g"/>
    <s v="Alessandro Castaldo"/>
    <s v="http://www.youtube.com/channel/UCEm5HlGvJXSCTKsFxWih04g"/>
    <m/>
    <s v="hN3-wTOxrsY"/>
    <s v="https://www.youtube.com/watch?v=hN3-wTOxrsY"/>
    <s v="none"/>
    <n v="0"/>
    <x v="1"/>
    <d v="2013-11-22T14:55:21.000"/>
    <m/>
    <m/>
    <s v=""/>
    <n v="1"/>
    <s v="11"/>
    <s v="11"/>
    <n v="3"/>
    <n v="6.25"/>
    <n v="0"/>
    <n v="0"/>
    <n v="0"/>
    <n v="0"/>
    <n v="45"/>
    <n v="93.75"/>
    <n v="48"/>
  </r>
  <r>
    <s v="UC6q8R5SJYsuHhleU2GgJKGA"/>
    <s v="UCoB94ow_SQUv369e2uhOXSw"/>
    <m/>
    <m/>
    <m/>
    <m/>
    <m/>
    <m/>
    <m/>
    <m/>
    <s v="No"/>
    <n v="5"/>
    <m/>
    <m/>
    <s v="Commented Video"/>
    <x v="0"/>
    <s v="Hi Brittany. Thank you very much for the tutorial.  I downloaded Facebook data but the vertices were all in numbers instead of names. I wonder what I can do to convert the vertices into names?  I noticed that in your tutorial,  the vertices changed from numbers to names."/>
    <s v="UC6q8R5SJYsuHhleU2GgJKGA"/>
    <s v="Chong Jin Lee"/>
    <s v="http://www.youtube.com/channel/UC6q8R5SJYsuHhleU2GgJKGA"/>
    <m/>
    <s v="hN3-wTOxrsY"/>
    <s v="https://www.youtube.com/watch?v=hN3-wTOxrsY"/>
    <s v="none"/>
    <n v="0"/>
    <x v="2"/>
    <d v="2014-05-10T01:52:38.000"/>
    <m/>
    <m/>
    <s v=""/>
    <n v="1"/>
    <s v="11"/>
    <s v="11"/>
    <n v="2"/>
    <n v="4.166666666666667"/>
    <n v="0"/>
    <n v="0"/>
    <n v="0"/>
    <n v="0"/>
    <n v="46"/>
    <n v="95.83333333333333"/>
    <n v="48"/>
  </r>
  <r>
    <s v="UC2jHQ9iN3gjeCs6mCCyI_1g"/>
    <s v="UCoB94ow_SQUv369e2uhOXSw"/>
    <m/>
    <m/>
    <m/>
    <m/>
    <m/>
    <m/>
    <m/>
    <m/>
    <s v="No"/>
    <n v="6"/>
    <m/>
    <m/>
    <s v="Commented Video"/>
    <x v="0"/>
    <s v="can i use my profile?"/>
    <s v="UC2jHQ9iN3gjeCs6mCCyI_1g"/>
    <s v="Kurt Venzon"/>
    <s v="http://www.youtube.com/channel/UC2jHQ9iN3gjeCs6mCCyI_1g"/>
    <m/>
    <s v="hN3-wTOxrsY"/>
    <s v="https://www.youtube.com/watch?v=hN3-wTOxrsY"/>
    <s v="none"/>
    <n v="0"/>
    <x v="3"/>
    <d v="2015-03-05T00:33:48.000"/>
    <m/>
    <m/>
    <s v=""/>
    <n v="1"/>
    <s v="11"/>
    <s v="11"/>
    <n v="0"/>
    <n v="0"/>
    <n v="0"/>
    <n v="0"/>
    <n v="0"/>
    <n v="0"/>
    <n v="5"/>
    <n v="100"/>
    <n v="5"/>
  </r>
  <r>
    <s v="UC625RO8AWt6tzDrFxA22tPQ"/>
    <s v="UCoB94ow_SQUv369e2uhOXSw"/>
    <m/>
    <m/>
    <m/>
    <m/>
    <m/>
    <m/>
    <m/>
    <m/>
    <s v="No"/>
    <n v="7"/>
    <m/>
    <m/>
    <s v="Commented Video"/>
    <x v="0"/>
    <s v="Thank you for this video. Basically covers the basics of Gephi in one short video"/>
    <s v="UC625RO8AWt6tzDrFxA22tPQ"/>
    <s v="Madhavan Sriram"/>
    <s v="http://www.youtube.com/channel/UC625RO8AWt6tzDrFxA22tPQ"/>
    <m/>
    <s v="hN3-wTOxrsY"/>
    <s v="https://www.youtube.com/watch?v=hN3-wTOxrsY"/>
    <s v="none"/>
    <n v="1"/>
    <x v="4"/>
    <d v="2015-05-08T11:37:05.000"/>
    <m/>
    <m/>
    <s v=""/>
    <n v="1"/>
    <s v="11"/>
    <s v="11"/>
    <n v="1"/>
    <n v="6.666666666666667"/>
    <n v="0"/>
    <n v="0"/>
    <n v="0"/>
    <n v="0"/>
    <n v="14"/>
    <n v="93.33333333333333"/>
    <n v="15"/>
  </r>
  <r>
    <s v="UCwmXhkHeZ7EbApGCHtpuAlg"/>
    <s v="UCl9gn5ZSJFQ33S_h1D8lGlg"/>
    <m/>
    <m/>
    <m/>
    <m/>
    <m/>
    <m/>
    <m/>
    <m/>
    <s v="No"/>
    <n v="8"/>
    <m/>
    <m/>
    <s v="Replied Comment"/>
    <x v="1"/>
    <s v="+Gilles Havik Yeah, seems so !"/>
    <s v="UCwmXhkHeZ7EbApGCHtpuAlg"/>
    <s v="Amol Gupta"/>
    <s v="http://www.youtube.com/channel/UCwmXhkHeZ7EbApGCHtpuAlg"/>
    <s v="Ugg6wDyPqW_12ngCoAEC"/>
    <s v="hN3-wTOxrsY"/>
    <s v="https://www.youtube.com/watch?v=hN3-wTOxrsY"/>
    <s v="none"/>
    <n v="0"/>
    <x v="5"/>
    <d v="2016-03-19T16:28:58.000"/>
    <m/>
    <m/>
    <s v=""/>
    <n v="1"/>
    <s v="11"/>
    <s v="11"/>
    <n v="0"/>
    <n v="0"/>
    <n v="0"/>
    <n v="0"/>
    <n v="0"/>
    <n v="0"/>
    <n v="5"/>
    <n v="100"/>
    <n v="5"/>
  </r>
  <r>
    <s v="UCl9gn5ZSJFQ33S_h1D8lGlg"/>
    <s v="UCoB94ow_SQUv369e2uhOXSw"/>
    <m/>
    <m/>
    <m/>
    <m/>
    <m/>
    <m/>
    <m/>
    <m/>
    <s v="No"/>
    <n v="9"/>
    <m/>
    <m/>
    <s v="Commented Video"/>
    <x v="0"/>
    <s v="Seems that this function is no longer open source"/>
    <s v="UCl9gn5ZSJFQ33S_h1D8lGlg"/>
    <s v="Gilles Havik"/>
    <s v="http://www.youtube.com/channel/UCl9gn5ZSJFQ33S_h1D8lGlg"/>
    <m/>
    <s v="hN3-wTOxrsY"/>
    <s v="https://www.youtube.com/watch?v=hN3-wTOxrsY"/>
    <s v="none"/>
    <n v="1"/>
    <x v="6"/>
    <d v="2015-12-30T19:43:04.000"/>
    <m/>
    <m/>
    <s v=""/>
    <n v="1"/>
    <s v="11"/>
    <s v="11"/>
    <n v="0"/>
    <n v="0"/>
    <n v="0"/>
    <n v="0"/>
    <n v="0"/>
    <n v="0"/>
    <n v="9"/>
    <n v="100"/>
    <n v="9"/>
  </r>
  <r>
    <s v="UCXBDxpU7E1QT0J1nS-BGnQg"/>
    <s v="UCOQy7XDYjkjhb0QwVMwf-7A"/>
    <m/>
    <m/>
    <m/>
    <m/>
    <m/>
    <m/>
    <m/>
    <m/>
    <s v="No"/>
    <n v="10"/>
    <m/>
    <m/>
    <s v="Commented Video"/>
    <x v="0"/>
    <s v="Hi Marc, any tutorial on the same would be more than helpful. Regards."/>
    <s v="UCXBDxpU7E1QT0J1nS-BGnQg"/>
    <s v="Rupsayar Das"/>
    <s v="http://www.youtube.com/channel/UCXBDxpU7E1QT0J1nS-BGnQg"/>
    <m/>
    <s v="PmDKuAnKiGA"/>
    <s v="https://www.youtube.com/watch?v=PmDKuAnKiGA"/>
    <s v="none"/>
    <n v="0"/>
    <x v="7"/>
    <d v="2015-09-03T10:39:35.000"/>
    <m/>
    <m/>
    <s v=""/>
    <n v="1"/>
    <s v="6"/>
    <s v="6"/>
    <n v="1"/>
    <n v="7.6923076923076925"/>
    <n v="0"/>
    <n v="0"/>
    <n v="0"/>
    <n v="0"/>
    <n v="12"/>
    <n v="92.3076923076923"/>
    <n v="13"/>
  </r>
  <r>
    <s v="UCSnr1NggLE8M63F61SbWGDw"/>
    <s v="UC7roQpV6qEGtQqPL_d0KlHw"/>
    <m/>
    <m/>
    <m/>
    <m/>
    <m/>
    <m/>
    <m/>
    <m/>
    <s v="No"/>
    <n v="11"/>
    <m/>
    <m/>
    <s v="Commented Video"/>
    <x v="0"/>
    <s v="thanks for the tutorial."/>
    <s v="UCSnr1NggLE8M63F61SbWGDw"/>
    <s v="Wegdan Abdulqader"/>
    <s v="http://www.youtube.com/channel/UCSnr1NggLE8M63F61SbWGDw"/>
    <m/>
    <s v="hTnnEnpQkkk"/>
    <s v="https://www.youtube.com/watch?v=hTnnEnpQkkk"/>
    <s v="none"/>
    <n v="0"/>
    <x v="8"/>
    <d v="2015-12-12T19:05:27.000"/>
    <m/>
    <m/>
    <s v=""/>
    <n v="1"/>
    <s v="14"/>
    <s v="14"/>
    <n v="0"/>
    <n v="0"/>
    <n v="0"/>
    <n v="0"/>
    <n v="0"/>
    <n v="0"/>
    <n v="4"/>
    <n v="100"/>
    <n v="4"/>
  </r>
  <r>
    <s v="UCXxni4CYgsAp7QsUM71k2gQ"/>
    <s v="UC7roQpV6qEGtQqPL_d0KlHw"/>
    <m/>
    <m/>
    <m/>
    <m/>
    <m/>
    <m/>
    <m/>
    <m/>
    <s v="No"/>
    <n v="12"/>
    <m/>
    <m/>
    <s v="Commented Video"/>
    <x v="0"/>
    <s v="I wish it had sound but still, thanks. I learnt a thing or two"/>
    <s v="UCXxni4CYgsAp7QsUM71k2gQ"/>
    <s v="C M"/>
    <s v="http://www.youtube.com/channel/UCXxni4CYgsAp7QsUM71k2gQ"/>
    <m/>
    <s v="hTnnEnpQkkk"/>
    <s v="https://www.youtube.com/watch?v=hTnnEnpQkkk"/>
    <s v="none"/>
    <n v="1"/>
    <x v="9"/>
    <d v="2018-03-28T17:54:57.000"/>
    <m/>
    <m/>
    <s v=""/>
    <n v="1"/>
    <s v="14"/>
    <s v="14"/>
    <n v="0"/>
    <n v="0"/>
    <n v="0"/>
    <n v="0"/>
    <n v="0"/>
    <n v="0"/>
    <n v="14"/>
    <n v="100"/>
    <n v="14"/>
  </r>
  <r>
    <s v="UCMjfNOw_F_QdVO_NcQ49hwA"/>
    <s v="UC7roQpV6qEGtQqPL_d0KlHw"/>
    <m/>
    <m/>
    <m/>
    <m/>
    <m/>
    <m/>
    <m/>
    <m/>
    <s v="No"/>
    <n v="13"/>
    <m/>
    <m/>
    <s v="Commented Video"/>
    <x v="0"/>
    <s v="i wonder, where did you find those twitter account dataset? or how you acquire it?"/>
    <s v="UCMjfNOw_F_QdVO_NcQ49hwA"/>
    <s v="Fredi Anriko"/>
    <s v="http://www.youtube.com/channel/UCMjfNOw_F_QdVO_NcQ49hwA"/>
    <m/>
    <s v="hTnnEnpQkkk"/>
    <s v="https://www.youtube.com/watch?v=hTnnEnpQkkk"/>
    <s v="none"/>
    <n v="0"/>
    <x v="10"/>
    <d v="2020-01-17T14:12:24.000"/>
    <m/>
    <m/>
    <s v=""/>
    <n v="1"/>
    <s v="14"/>
    <s v="14"/>
    <n v="1"/>
    <n v="6.666666666666667"/>
    <n v="0"/>
    <n v="0"/>
    <n v="0"/>
    <n v="0"/>
    <n v="14"/>
    <n v="93.33333333333333"/>
    <n v="15"/>
  </r>
  <r>
    <s v="UCcqj5COuFHh1eHF0xdBQoig"/>
    <s v="UCv0vw-y0YIwqEbU305hhcFg"/>
    <m/>
    <m/>
    <m/>
    <m/>
    <m/>
    <m/>
    <m/>
    <m/>
    <s v="No"/>
    <n v="14"/>
    <m/>
    <m/>
    <s v="Commented Video"/>
    <x v="0"/>
    <s v="So cool to see you all ..."/>
    <s v="UCcqj5COuFHh1eHF0xdBQoig"/>
    <s v="Kevin Hodgson"/>
    <s v="http://www.youtube.com/channel/UCcqj5COuFHh1eHF0xdBQoig"/>
    <m/>
    <s v="5_mfdaFBRy4"/>
    <s v="https://www.youtube.com/watch?v=5_mfdaFBRy4"/>
    <s v="none"/>
    <n v="2"/>
    <x v="11"/>
    <d v="2015-05-13T11:38:15.000"/>
    <m/>
    <m/>
    <s v=""/>
    <n v="1"/>
    <s v="24"/>
    <s v="24"/>
    <n v="1"/>
    <n v="16.666666666666668"/>
    <n v="0"/>
    <n v="0"/>
    <n v="0"/>
    <n v="0"/>
    <n v="5"/>
    <n v="83.33333333333333"/>
    <n v="6"/>
  </r>
  <r>
    <s v="UCXpbkjiFlXTpSy3DnioAJjw"/>
    <s v="UCB_X37NbtJ8tXBrYj_4mEHg"/>
    <m/>
    <m/>
    <m/>
    <m/>
    <m/>
    <m/>
    <m/>
    <m/>
    <s v="No"/>
    <n v="15"/>
    <m/>
    <m/>
    <s v="Commented Video"/>
    <x v="0"/>
    <s v="Cool! What a wonderful tool. Hats off to the folks who made this :-)"/>
    <s v="UCXpbkjiFlXTpSy3DnioAJjw"/>
    <s v="Em Cooper"/>
    <s v="http://www.youtube.com/channel/UCXpbkjiFlXTpSy3DnioAJjw"/>
    <m/>
    <s v="0M3T65Iw3Ac"/>
    <s v="https://www.youtube.com/watch?v=0M3T65Iw3Ac"/>
    <s v="none"/>
    <n v="0"/>
    <x v="12"/>
    <d v="2012-03-01T18:19:01.000"/>
    <m/>
    <m/>
    <s v=""/>
    <n v="1"/>
    <s v="23"/>
    <s v="23"/>
    <n v="2"/>
    <n v="15.384615384615385"/>
    <n v="0"/>
    <n v="0"/>
    <n v="0"/>
    <n v="0"/>
    <n v="11"/>
    <n v="84.61538461538461"/>
    <n v="13"/>
  </r>
  <r>
    <s v="UCT2t7sQp0Qyi9dxuckjOWAw"/>
    <s v="UCUGm4MAV0xRkCWAIe34oHEA"/>
    <m/>
    <m/>
    <m/>
    <m/>
    <m/>
    <m/>
    <m/>
    <m/>
    <s v="Yes"/>
    <n v="16"/>
    <m/>
    <m/>
    <s v="Replied Comment"/>
    <x v="1"/>
    <s v="A ti querida Eva por invitarme :  Los que deseen conocer su mapa de audiencia y como llegar a ellas con estrategias pueden contactarme aqui :  &lt;a href=&quot;https://vivianfrancos.com/conoce-tus-mapas-de-audiencia-nodexl/&quot;&gt;https://vivianfrancos.com/conoce-tus-mapas-de-audiencia-nodexl/&lt;/a&gt;"/>
    <s v="UCT2t7sQp0Qyi9dxuckjOWAw"/>
    <s v="Vivian Francos #SeoHashtag Posiciona tu Hashtag"/>
    <s v="http://www.youtube.com/channel/UCT2t7sQp0Qyi9dxuckjOWAw"/>
    <s v="UgxR9Ql4a93_SIC-BNx4AaABAg"/>
    <s v="3s6qbWY07FI"/>
    <s v="https://www.youtube.com/watch?v=3s6qbWY07FI"/>
    <s v="none"/>
    <n v="0"/>
    <x v="13"/>
    <d v="2020-06-03T14:17:16.000"/>
    <s v=" https://vivianfrancos.com/conoce-tus-mapas-de-audiencia-nodexl/ https://vivianfrancos.com/conoce-tus-mapas-de-audiencia-nodexl/"/>
    <s v="vivianfrancos.com vivianfrancos.com"/>
    <s v=""/>
    <n v="1"/>
    <s v="4"/>
    <s v="4"/>
    <n v="0"/>
    <n v="0"/>
    <n v="0"/>
    <n v="0"/>
    <n v="0"/>
    <n v="0"/>
    <n v="45"/>
    <n v="100"/>
    <n v="45"/>
  </r>
  <r>
    <s v="UCUGm4MAV0xRkCWAIe34oHEA"/>
    <s v="UCT2t7sQp0Qyi9dxuckjOWAw"/>
    <m/>
    <m/>
    <m/>
    <m/>
    <m/>
    <m/>
    <m/>
    <m/>
    <s v="Yes"/>
    <n v="17"/>
    <m/>
    <m/>
    <s v="Commented Video"/>
    <x v="0"/>
    <s v="Gracias por acompañarnos y contarnos tantas cosas interesantes de analítica."/>
    <s v="UCUGm4MAV0xRkCWAIe34oHEA"/>
    <s v="Eva Añón"/>
    <s v="http://www.youtube.com/channel/UCUGm4MAV0xRkCWAIe34oHEA"/>
    <m/>
    <s v="3s6qbWY07FI"/>
    <s v="https://www.youtube.com/watch?v=3s6qbWY07FI"/>
    <s v="none"/>
    <n v="2"/>
    <x v="14"/>
    <d v="2020-05-20T14:06:10.000"/>
    <m/>
    <m/>
    <s v=""/>
    <n v="1"/>
    <s v="4"/>
    <s v="4"/>
    <n v="0"/>
    <n v="0"/>
    <n v="0"/>
    <n v="0"/>
    <n v="0"/>
    <n v="0"/>
    <n v="10"/>
    <n v="100"/>
    <n v="10"/>
  </r>
  <r>
    <s v="UCfYrvWfah8SKHvX-fQ_oLWQ"/>
    <s v="UC2b3yDPx5ALGuEJSAs_E7kw"/>
    <m/>
    <m/>
    <m/>
    <m/>
    <m/>
    <m/>
    <m/>
    <m/>
    <s v="Yes"/>
    <n v="18"/>
    <m/>
    <m/>
    <s v="Replied Comment"/>
    <x v="1"/>
    <s v="Thank You. There are several tips&amp;amp;tricks more.&lt;br&gt;One fun is this&lt;br&gt;Gephi JS - an interactive map directly with gexf file&lt;br&gt;&lt;br&gt;&lt;a href=&quot;http://mihkal.indeedsir.com/isfi/&quot;&gt;http://mihkal.indeedsir.com/isfi/&lt;/a&gt;"/>
    <s v="UCfYrvWfah8SKHvX-fQ_oLWQ"/>
    <s v="Mika Laiti"/>
    <s v="http://www.youtube.com/channel/UCfYrvWfah8SKHvX-fQ_oLWQ"/>
    <s v="UgwoWkJPUeRcf8htcKR4AaABAg"/>
    <s v="o-D-Duv8Mcs"/>
    <s v="https://www.youtube.com/watch?v=o-D-Duv8Mcs"/>
    <s v="none"/>
    <n v="1"/>
    <x v="15"/>
    <d v="2020-04-02T20:21:39.000"/>
    <s v=" http://mihkal.indeedsir.com/isfi/ http://mihkal.indeedsir.com/isfi/"/>
    <s v="indeedsir.com indeedsir.com"/>
    <s v=""/>
    <n v="1"/>
    <s v="17"/>
    <s v="17"/>
    <n v="2"/>
    <n v="5.128205128205129"/>
    <n v="0"/>
    <n v="0"/>
    <n v="0"/>
    <n v="0"/>
    <n v="37"/>
    <n v="94.87179487179488"/>
    <n v="39"/>
  </r>
  <r>
    <s v="UC2b3yDPx5ALGuEJSAs_E7kw"/>
    <s v="UCfYrvWfah8SKHvX-fQ_oLWQ"/>
    <m/>
    <m/>
    <m/>
    <m/>
    <m/>
    <m/>
    <m/>
    <m/>
    <s v="Yes"/>
    <n v="19"/>
    <m/>
    <m/>
    <s v="Commented Video"/>
    <x v="0"/>
    <s v="Fantastic video, thanks for sharing Mika!"/>
    <s v="UC2b3yDPx5ALGuEJSAs_E7kw"/>
    <s v="Alex Fenton"/>
    <s v="http://www.youtube.com/channel/UC2b3yDPx5ALGuEJSAs_E7kw"/>
    <m/>
    <s v="o-D-Duv8Mcs"/>
    <s v="https://www.youtube.com/watch?v=o-D-Duv8Mcs"/>
    <s v="none"/>
    <n v="1"/>
    <x v="16"/>
    <d v="2020-04-02T19:54:40.000"/>
    <m/>
    <m/>
    <s v=""/>
    <n v="1"/>
    <s v="17"/>
    <s v="17"/>
    <n v="1"/>
    <n v="16.666666666666668"/>
    <n v="0"/>
    <n v="0"/>
    <n v="0"/>
    <n v="0"/>
    <n v="5"/>
    <n v="83.33333333333333"/>
    <n v="6"/>
  </r>
  <r>
    <s v="UCfYrvWfah8SKHvX-fQ_oLWQ"/>
    <s v="UCeiKh2VbzXlQeESwZzg7xxQ"/>
    <m/>
    <m/>
    <m/>
    <m/>
    <m/>
    <m/>
    <m/>
    <m/>
    <s v="Yes"/>
    <n v="20"/>
    <m/>
    <m/>
    <s v="Replied Comment"/>
    <x v="1"/>
    <s v="Link to the dataset is below&lt;br&gt;&lt;br&gt;This is a Gephi visualization of the dataset. Layout used is Force Atlas 2 and the size of the nodes is calculated in NodeXL = Betweenness Centrality. So the Graph tells the most influentials in that network by that metric. You can download the gephi dataset and also nodexl data from the links on this page.&lt;br&gt;&lt;br&gt;About the dataset.&lt;br&gt;&lt;br&gt;The graph represents a network of 17,971 Twitter users whose recent tweets contained &amp;quot;premierleague OR &amp;#39;premier league&amp;#39;&amp;quot;, or who were replied to or mentioned in those tweets, taken from a data set limited to a maximum of 18,000 tweets. The network was obtained from Twitter on Wednesday, 01 April 2020 at &lt;a href=&quot;https://www.youtube.com/watch?v=o-D-Duv8Mcs&amp;amp;t=10m24s&quot;&gt;10:24&lt;/a&gt; UTC._x000d_&lt;br&gt;_x000d_&lt;br&gt;The tweets in the network were tweeted over the 15-hour, 25-minute period from Tuesday, 31 March 2020 at &lt;a href=&quot;https://www.youtube.com/watch?v=o-D-Duv8Mcs&amp;amp;t=18m26s&quot;&gt;18:26&lt;/a&gt; UTC to Wednesday, 01 April 2020 at &lt;a href=&quot;https://www.youtube.com/watch?v=o-D-Duv8Mcs&amp;amp;t=09m51s&quot;&gt;09:51&lt;/a&gt; UTC._x000d_&lt;br&gt;_x000d_&lt;br&gt;Additional tweets that were mentioned in this data set were also collected from prior time periods. These tweets may expand the complete time period of the data._x000d_&lt;br&gt;_x000d_&lt;br&gt;There is an edge for each &amp;quot;replies-to&amp;quot; relationship in a tweet, an edge for each &amp;quot;mentions&amp;quot; relationship in a tweet, and a self-loop edge for each tweet that is not a &amp;quot;replies-to&amp;quot; or &amp;quot;mentions&amp;quot;."/>
    <s v="UCfYrvWfah8SKHvX-fQ_oLWQ"/>
    <s v="Mika Laiti"/>
    <s v="http://www.youtube.com/channel/UCfYrvWfah8SKHvX-fQ_oLWQ"/>
    <s v="Ugz6IH6qHiKDI-D4KvN4AaABAg"/>
    <s v="o-D-Duv8Mcs"/>
    <s v="https://www.youtube.com/watch?v=o-D-Duv8Mcs"/>
    <s v="none"/>
    <n v="2"/>
    <x v="17"/>
    <d v="2020-04-03T16:09:25.000"/>
    <s v=" https://www.youtube.com/watch?v=o-D-Duv8Mcs&amp;amp;t=10m24s https://www.youtube.com/watch?v=o-D-Duv8Mcs&amp;amp;t=18m26s https://www.youtube.com/watch?v=o-D-Duv8Mcs&amp;amp;t=09m51s"/>
    <s v="youtube.com youtube.com youtube.com"/>
    <s v=""/>
    <n v="1"/>
    <s v="17"/>
    <s v="17"/>
    <n v="1"/>
    <n v="0.3508771929824561"/>
    <n v="1"/>
    <n v="0.3508771929824561"/>
    <n v="0"/>
    <n v="0"/>
    <n v="283"/>
    <n v="99.29824561403508"/>
    <n v="285"/>
  </r>
  <r>
    <s v="UCeiKh2VbzXlQeESwZzg7xxQ"/>
    <s v="UCfYrvWfah8SKHvX-fQ_oLWQ"/>
    <m/>
    <m/>
    <m/>
    <m/>
    <m/>
    <m/>
    <m/>
    <m/>
    <s v="Yes"/>
    <n v="21"/>
    <m/>
    <m/>
    <s v="Commented Video"/>
    <x v="0"/>
    <s v="What, exactly, is this visualization trying to communicate? What is the data about?"/>
    <s v="UCeiKh2VbzXlQeESwZzg7xxQ"/>
    <s v="Dogface Reilly"/>
    <s v="http://www.youtube.com/channel/UCeiKh2VbzXlQeESwZzg7xxQ"/>
    <m/>
    <s v="o-D-Duv8Mcs"/>
    <s v="https://www.youtube.com/watch?v=o-D-Duv8Mcs"/>
    <s v="none"/>
    <n v="0"/>
    <x v="18"/>
    <d v="2020-04-03T15:48:08.000"/>
    <m/>
    <m/>
    <s v=""/>
    <n v="1"/>
    <s v="17"/>
    <s v="17"/>
    <n v="0"/>
    <n v="0"/>
    <n v="0"/>
    <n v="0"/>
    <n v="0"/>
    <n v="0"/>
    <n v="13"/>
    <n v="100"/>
    <n v="13"/>
  </r>
  <r>
    <s v="UCOySjL4JhGjAvIU2BeWaZMA"/>
    <s v="UCo4986VKClJt42gAAOHqWtQ"/>
    <m/>
    <m/>
    <m/>
    <m/>
    <m/>
    <m/>
    <m/>
    <m/>
    <s v="No"/>
    <n v="22"/>
    <m/>
    <m/>
    <s v="Commented Video"/>
    <x v="0"/>
    <s v="nice!"/>
    <s v="UCOySjL4JhGjAvIU2BeWaZMA"/>
    <s v="Eutiquio Chapa"/>
    <s v="http://www.youtube.com/channel/UCOySjL4JhGjAvIU2BeWaZMA"/>
    <m/>
    <s v="39yXz72qdow"/>
    <s v="https://www.youtube.com/watch?v=39yXz72qdow"/>
    <s v="none"/>
    <n v="0"/>
    <x v="19"/>
    <d v="2012-06-11T03:51:53.000"/>
    <m/>
    <m/>
    <s v=""/>
    <n v="1"/>
    <s v="9"/>
    <s v="9"/>
    <n v="1"/>
    <n v="100"/>
    <n v="0"/>
    <n v="0"/>
    <n v="0"/>
    <n v="0"/>
    <n v="0"/>
    <n v="0"/>
    <n v="1"/>
  </r>
  <r>
    <s v="UCkkgApUQlDrsLaod5io227g"/>
    <s v="UCo4986VKClJt42gAAOHqWtQ"/>
    <m/>
    <m/>
    <m/>
    <m/>
    <m/>
    <m/>
    <m/>
    <m/>
    <s v="No"/>
    <n v="23"/>
    <m/>
    <m/>
    <s v="Commented Video"/>
    <x v="0"/>
    <s v="hi... can&amp;#39;t get data the same nodexl by java.... &lt;br&gt;Who have do it? help me please."/>
    <s v="UCkkgApUQlDrsLaod5io227g"/>
    <s v="Ngoc Phuong Chau"/>
    <s v="http://www.youtube.com/channel/UCkkgApUQlDrsLaod5io227g"/>
    <m/>
    <s v="39yXz72qdow"/>
    <s v="https://www.youtube.com/watch?v=39yXz72qdow"/>
    <s v="none"/>
    <n v="0"/>
    <x v="20"/>
    <d v="2013-12-05T07:43:21.000"/>
    <m/>
    <m/>
    <s v=""/>
    <n v="1"/>
    <s v="9"/>
    <s v="9"/>
    <n v="0"/>
    <n v="0"/>
    <n v="0"/>
    <n v="0"/>
    <n v="0"/>
    <n v="0"/>
    <n v="19"/>
    <n v="100"/>
    <n v="19"/>
  </r>
  <r>
    <s v="UCo4986VKClJt42gAAOHqWtQ"/>
    <s v="UC-jjpnxCagdT_bv8huLBmrA"/>
    <m/>
    <m/>
    <m/>
    <m/>
    <m/>
    <m/>
    <m/>
    <m/>
    <s v="Yes"/>
    <n v="24"/>
    <m/>
    <m/>
    <s v="Replied Comment"/>
    <x v="1"/>
    <s v="Hi Rachit ..by location you mean.. location of friends ..or a particular location..i guess one way would be to import your network and then use filters normally present in excel and then generate a graph .."/>
    <s v="UCo4986VKClJt42gAAOHqWtQ"/>
    <s v="prodfranciscan"/>
    <s v="http://www.youtube.com/channel/UCo4986VKClJt42gAAOHqWtQ"/>
    <s v="UgjWD8cNubbsdHgCoAEC"/>
    <s v="39yXz72qdow"/>
    <s v="https://www.youtube.com/watch?v=39yXz72qdow"/>
    <s v="none"/>
    <n v="0"/>
    <x v="21"/>
    <d v="2015-02-19T17:04:19.000"/>
    <m/>
    <m/>
    <s v=""/>
    <n v="1"/>
    <s v="9"/>
    <s v="9"/>
    <n v="1"/>
    <n v="2.7777777777777777"/>
    <n v="0"/>
    <n v="0"/>
    <n v="0"/>
    <n v="0"/>
    <n v="35"/>
    <n v="97.22222222222223"/>
    <n v="36"/>
  </r>
  <r>
    <s v="UC-jjpnxCagdT_bv8huLBmrA"/>
    <s v="UCo4986VKClJt42gAAOHqWtQ"/>
    <m/>
    <m/>
    <m/>
    <m/>
    <m/>
    <m/>
    <m/>
    <m/>
    <s v="Yes"/>
    <n v="25"/>
    <m/>
    <m/>
    <s v="Commented Video"/>
    <x v="0"/>
    <s v="very nice explanation, thank you for that. But I just wanted to know that if we want to extract location specific data for the analysis work then which software or method would be best."/>
    <s v="UC-jjpnxCagdT_bv8huLBmrA"/>
    <s v="Rachit Gupta"/>
    <s v="http://www.youtube.com/channel/UC-jjpnxCagdT_bv8huLBmrA"/>
    <m/>
    <s v="39yXz72qdow"/>
    <s v="https://www.youtube.com/watch?v=39yXz72qdow"/>
    <s v="none"/>
    <n v="0"/>
    <x v="22"/>
    <d v="2015-02-07T09:49:43.000"/>
    <m/>
    <m/>
    <s v=""/>
    <n v="1"/>
    <s v="9"/>
    <s v="9"/>
    <n v="4"/>
    <n v="11.764705882352942"/>
    <n v="0"/>
    <n v="0"/>
    <n v="0"/>
    <n v="0"/>
    <n v="30"/>
    <n v="88.23529411764706"/>
    <n v="34"/>
  </r>
  <r>
    <s v="UCYS7wFuePefGbkq9zjRt8sQ"/>
    <s v="UCo4986VKClJt42gAAOHqWtQ"/>
    <m/>
    <m/>
    <m/>
    <m/>
    <m/>
    <m/>
    <m/>
    <m/>
    <s v="No"/>
    <n v="26"/>
    <m/>
    <m/>
    <s v="Commented Video"/>
    <x v="0"/>
    <s v="Hi... what is the name of the website you mentioned in minute &lt;a href=&quot;http://www.youtube.com/watch?v=39yXz72qdow&amp;amp;t=4m08s&quot;&gt;4:08&lt;/a&gt;?"/>
    <s v="UCYS7wFuePefGbkq9zjRt8sQ"/>
    <s v="Tamer Taha"/>
    <s v="http://www.youtube.com/channel/UCYS7wFuePefGbkq9zjRt8sQ"/>
    <m/>
    <s v="39yXz72qdow"/>
    <s v="https://www.youtube.com/watch?v=39yXz72qdow"/>
    <s v="none"/>
    <n v="0"/>
    <x v="23"/>
    <d v="2015-10-09T11:19:26.000"/>
    <s v=" http://www.youtube.com/watch?v=39yXz72qdow&amp;amp;t=4m08s"/>
    <s v="youtube.com"/>
    <s v=""/>
    <n v="1"/>
    <s v="9"/>
    <s v="9"/>
    <n v="0"/>
    <n v="0"/>
    <n v="0"/>
    <n v="0"/>
    <n v="0"/>
    <n v="0"/>
    <n v="27"/>
    <n v="100"/>
    <n v="27"/>
  </r>
  <r>
    <s v="UCDCjHgdB_5n2ppVPI3Vt8Ew"/>
    <s v="UCo4986VKClJt42gAAOHqWtQ"/>
    <m/>
    <m/>
    <m/>
    <m/>
    <m/>
    <m/>
    <m/>
    <m/>
    <s v="No"/>
    <n v="27"/>
    <m/>
    <m/>
    <s v="Commented Video"/>
    <x v="0"/>
    <s v="It´s possible to select posts by date from FB? I´m new in NodeXL And I need to know it..."/>
    <s v="UCDCjHgdB_5n2ppVPI3Vt8Ew"/>
    <s v="Daniel Ayala Quispe"/>
    <s v="http://www.youtube.com/channel/UCDCjHgdB_5n2ppVPI3Vt8Ew"/>
    <m/>
    <s v="39yXz72qdow"/>
    <s v="https://www.youtube.com/watch?v=39yXz72qdow"/>
    <s v="none"/>
    <n v="0"/>
    <x v="24"/>
    <d v="2016-05-23T23:30:34.000"/>
    <m/>
    <m/>
    <s v=""/>
    <n v="1"/>
    <s v="9"/>
    <s v="9"/>
    <n v="0"/>
    <n v="0"/>
    <n v="0"/>
    <n v="0"/>
    <n v="0"/>
    <n v="0"/>
    <n v="21"/>
    <n v="100"/>
    <n v="21"/>
  </r>
  <r>
    <s v="UCYL-NgWVd0Ebir7pXVsMB2w"/>
    <s v="UCo4986VKClJt42gAAOHqWtQ"/>
    <m/>
    <m/>
    <m/>
    <m/>
    <m/>
    <m/>
    <m/>
    <m/>
    <s v="No"/>
    <n v="28"/>
    <m/>
    <m/>
    <s v="Commented Video"/>
    <x v="0"/>
    <s v="this is not up-to-date...."/>
    <s v="UCYL-NgWVd0Ebir7pXVsMB2w"/>
    <s v="rapidminerprojects iran"/>
    <s v="http://www.youtube.com/channel/UCYL-NgWVd0Ebir7pXVsMB2w"/>
    <m/>
    <s v="39yXz72qdow"/>
    <s v="https://www.youtube.com/watch?v=39yXz72qdow"/>
    <s v="none"/>
    <n v="0"/>
    <x v="25"/>
    <d v="2016-08-08T10:41:40.000"/>
    <m/>
    <m/>
    <s v=""/>
    <n v="1"/>
    <s v="9"/>
    <s v="9"/>
    <n v="0"/>
    <n v="0"/>
    <n v="0"/>
    <n v="0"/>
    <n v="0"/>
    <n v="0"/>
    <n v="6"/>
    <n v="100"/>
    <n v="6"/>
  </r>
  <r>
    <s v="UCg66xuzMQIOjiGIT5PMHOcw"/>
    <s v="UCo6gG1_nUsjZvN4gMpjdGZA"/>
    <m/>
    <m/>
    <m/>
    <m/>
    <m/>
    <m/>
    <m/>
    <m/>
    <s v="No"/>
    <n v="29"/>
    <m/>
    <m/>
    <s v="Replied Comment"/>
    <x v="1"/>
    <s v="Having the same issue ... what&amp;#39;s the way out please"/>
    <s v="UCg66xuzMQIOjiGIT5PMHOcw"/>
    <s v="Yahaya Musa Kayode"/>
    <s v="http://www.youtube.com/channel/UCg66xuzMQIOjiGIT5PMHOcw"/>
    <s v="Ugj7qltlvCkU5XgCoAEC"/>
    <s v="39yXz72qdow"/>
    <s v="https://www.youtube.com/watch?v=39yXz72qdow"/>
    <s v="none"/>
    <n v="0"/>
    <x v="26"/>
    <d v="2018-08-12T22:51:51.000"/>
    <m/>
    <m/>
    <s v=""/>
    <n v="1"/>
    <s v="9"/>
    <s v="9"/>
    <n v="0"/>
    <n v="0"/>
    <n v="1"/>
    <n v="9.090909090909092"/>
    <n v="0"/>
    <n v="0"/>
    <n v="10"/>
    <n v="90.9090909090909"/>
    <n v="11"/>
  </r>
  <r>
    <s v="UCo6gG1_nUsjZvN4gMpjdGZA"/>
    <s v="UCo4986VKClJt42gAAOHqWtQ"/>
    <m/>
    <m/>
    <m/>
    <m/>
    <m/>
    <m/>
    <m/>
    <m/>
    <s v="No"/>
    <n v="30"/>
    <m/>
    <m/>
    <s v="Commented Video"/>
    <x v="0"/>
    <s v="Hiiii,  Please help  me . Its Urgent. When i am trying above one. it is showing me error &amp;quot;There is no Twitter user with that screen name&amp;quot;.  i am trying it on Microsoft office 2007. is their some version specific requirement.Please help  me ."/>
    <s v="UCo6gG1_nUsjZvN4gMpjdGZA"/>
    <s v="Arvind Goyal"/>
    <s v="http://www.youtube.com/channel/UCo6gG1_nUsjZvN4gMpjdGZA"/>
    <m/>
    <s v="39yXz72qdow"/>
    <s v="https://www.youtube.com/watch?v=39yXz72qdow"/>
    <s v="none"/>
    <n v="0"/>
    <x v="27"/>
    <d v="2017-07-19T06:30:36.000"/>
    <m/>
    <m/>
    <s v=""/>
    <n v="1"/>
    <s v="9"/>
    <s v="9"/>
    <n v="0"/>
    <n v="0"/>
    <n v="2"/>
    <n v="4.444444444444445"/>
    <n v="0"/>
    <n v="0"/>
    <n v="43"/>
    <n v="95.55555555555556"/>
    <n v="45"/>
  </r>
  <r>
    <s v="UCJNdQJZz7IuBgHWIIoJBvJg"/>
    <s v="UCerAw4EfTOnYYxLLPZAzMxQ"/>
    <m/>
    <m/>
    <m/>
    <m/>
    <m/>
    <m/>
    <m/>
    <m/>
    <s v="No"/>
    <n v="31"/>
    <m/>
    <m/>
    <s v="Commented Video"/>
    <x v="0"/>
    <s v=" thank you for your well paced and thorough introduction Professor Cook.  Can you please advise me on any communities that focus on SNA for brand communities? I work in digital brand strategy and am keen to use experimental techniques. my email is mlwrose@gmail.com or twitter @mattrose_rsa. thank you."/>
    <s v="UCJNdQJZz7IuBgHWIIoJBvJg"/>
    <s v="M"/>
    <s v="http://www.youtube.com/channel/UCJNdQJZz7IuBgHWIIoJBvJg"/>
    <m/>
    <s v="vp7VXgvVAPg"/>
    <s v="https://www.youtube.com/watch?v=vp7VXgvVAPg"/>
    <s v="none"/>
    <n v="0"/>
    <x v="28"/>
    <d v="2013-02-14T10:56:02.000"/>
    <m/>
    <m/>
    <s v=""/>
    <n v="1"/>
    <s v="1"/>
    <s v="1"/>
    <n v="5"/>
    <n v="10"/>
    <n v="0"/>
    <n v="0"/>
    <n v="0"/>
    <n v="0"/>
    <n v="45"/>
    <n v="90"/>
    <n v="50"/>
  </r>
  <r>
    <s v="UCDmMHvluQEXqJgF4docP0yA"/>
    <s v="UC5J008IAlx4366lCisVipIg"/>
    <m/>
    <m/>
    <m/>
    <m/>
    <m/>
    <m/>
    <m/>
    <m/>
    <s v="No"/>
    <n v="32"/>
    <m/>
    <m/>
    <s v="Replied Comment"/>
    <x v="1"/>
    <s v="Is there any way to look at the Twitter user network with the updated version? I&amp;#39;d like to do the analysis you did in the first portion of the video but can&amp;#39;t find a way to generate the same type of data you got using the new import feature. I found this article that talks about updates since June 2013. &lt;a href=&quot;https://www.connectedaction.net/new-nodexl-updates-twitter-user-and-list-importer/&quot;&gt;https://www.connectedaction.net/new-nodexl-updates-twitter-user-and-list-importer/&lt;/a&gt;"/>
    <s v="UCDmMHvluQEXqJgF4docP0yA"/>
    <s v="Rosalie Aguilar"/>
    <s v="http://www.youtube.com/channel/UCDmMHvluQEXqJgF4docP0yA"/>
    <s v="UgwumINODDc_l1ragCl4AaABAg"/>
    <s v="vp7VXgvVAPg"/>
    <s v="https://www.youtube.com/watch?v=vp7VXgvVAPg"/>
    <s v="none"/>
    <n v="0"/>
    <x v="29"/>
    <d v="2017-10-19T17:22:23.000"/>
    <s v=" https://www.connectedaction.net/new-nodexl-updates-twitter-user-and-list-importer/ https://www.connectedaction.net/new-nodexl-updates-twitter-user-and-list-importer/"/>
    <s v="connectedaction.net connectedaction.net"/>
    <s v=""/>
    <n v="1"/>
    <s v="22"/>
    <s v="22"/>
    <n v="1"/>
    <n v="1.098901098901099"/>
    <n v="0"/>
    <n v="0"/>
    <n v="0"/>
    <n v="0"/>
    <n v="90"/>
    <n v="98.9010989010989"/>
    <n v="91"/>
  </r>
  <r>
    <s v="UC5J008IAlx4366lCisVipIg"/>
    <s v="UCerAw4EfTOnYYxLLPZAzMxQ"/>
    <m/>
    <m/>
    <m/>
    <m/>
    <m/>
    <m/>
    <m/>
    <m/>
    <s v="No"/>
    <n v="33"/>
    <m/>
    <m/>
    <s v="Commented Video"/>
    <x v="0"/>
    <s v="great demo :)_x000a_"/>
    <s v="UC5J008IAlx4366lCisVipIg"/>
    <s v="seemel akhtar"/>
    <s v="http://www.youtube.com/channel/UC5J008IAlx4366lCisVipIg"/>
    <m/>
    <s v="vp7VXgvVAPg"/>
    <s v="https://www.youtube.com/watch?v=vp7VXgvVAPg"/>
    <s v="none"/>
    <n v="0"/>
    <x v="30"/>
    <d v="2013-04-25T12:43:53.000"/>
    <m/>
    <m/>
    <s v=""/>
    <n v="1"/>
    <s v="22"/>
    <s v="1"/>
    <n v="1"/>
    <n v="50"/>
    <n v="0"/>
    <n v="0"/>
    <n v="0"/>
    <n v="0"/>
    <n v="1"/>
    <n v="50"/>
    <n v="2"/>
  </r>
  <r>
    <s v="UCPvgd5mNI79yGYL0hJAKReA"/>
    <s v="UCerAw4EfTOnYYxLLPZAzMxQ"/>
    <m/>
    <m/>
    <m/>
    <m/>
    <m/>
    <m/>
    <m/>
    <m/>
    <s v="No"/>
    <n v="34"/>
    <m/>
    <m/>
    <s v="Commented Video"/>
    <x v="0"/>
    <s v="Thank you for the step-by-step guide throughout your lecture on NodeXL. It was very helpful to get my feet wet in the field!"/>
    <s v="UCPvgd5mNI79yGYL0hJAKReA"/>
    <s v="Christina Cha"/>
    <s v="http://www.youtube.com/channel/UCPvgd5mNI79yGYL0hJAKReA"/>
    <m/>
    <s v="vp7VXgvVAPg"/>
    <s v="https://www.youtube.com/watch?v=vp7VXgvVAPg"/>
    <s v="none"/>
    <n v="0"/>
    <x v="31"/>
    <d v="2013-05-24T23:40:51.000"/>
    <m/>
    <m/>
    <s v=""/>
    <n v="1"/>
    <s v="1"/>
    <s v="1"/>
    <n v="2"/>
    <n v="8"/>
    <n v="0"/>
    <n v="0"/>
    <n v="0"/>
    <n v="0"/>
    <n v="23"/>
    <n v="92"/>
    <n v="25"/>
  </r>
  <r>
    <s v="UCerAw4EfTOnYYxLLPZAzMxQ"/>
    <s v="UC8CPBnQ5vh85_8cwZ6gRFBQ"/>
    <m/>
    <m/>
    <m/>
    <m/>
    <m/>
    <m/>
    <m/>
    <m/>
    <s v="Yes"/>
    <n v="35"/>
    <m/>
    <m/>
    <s v="Replied Comment"/>
    <x v="1"/>
    <s v="Mr. Dumitru, if you have Twitter data already stored in an Excel file, you can import it into an analytical program for analysis (R, Stata, Systat, UCINET).  What is the structure of your data?"/>
    <s v="UCerAw4EfTOnYYxLLPZAzMxQ"/>
    <s v="James Cook"/>
    <s v="http://www.youtube.com/channel/UCerAw4EfTOnYYxLLPZAzMxQ"/>
    <s v="UghgU3_GX8nRnngCoAEC"/>
    <s v="vp7VXgvVAPg"/>
    <s v="https://www.youtube.com/watch?v=vp7VXgvVAPg"/>
    <s v="none"/>
    <n v="0"/>
    <x v="32"/>
    <d v="2013-12-12T14:11:22.000"/>
    <m/>
    <m/>
    <s v=""/>
    <n v="2"/>
    <s v="1"/>
    <s v="1"/>
    <n v="1"/>
    <n v="2.9411764705882355"/>
    <n v="0"/>
    <n v="0"/>
    <n v="0"/>
    <n v="0"/>
    <n v="33"/>
    <n v="97.05882352941177"/>
    <n v="34"/>
  </r>
  <r>
    <s v="UC8CPBnQ5vh85_8cwZ6gRFBQ"/>
    <s v="UC8CPBnQ5vh85_8cwZ6gRFBQ"/>
    <m/>
    <m/>
    <m/>
    <m/>
    <m/>
    <m/>
    <m/>
    <m/>
    <s v="No"/>
    <n v="36"/>
    <m/>
    <m/>
    <s v="Replied Comment"/>
    <x v="1"/>
    <s v="@James Cook Dear Mr Cook,&lt;br&gt;&lt;br&gt;Thank you for replying. The data were collected manually since there is no tool suitable to collect and store it in the format I wanted. The data, covering the full year of 2012, are stored in a excel file with the following column headers: &lt;br&gt;Date&lt;br&gt;Time&lt;br&gt;Lg&lt;br&gt;Tweet content&lt;br&gt;#&lt;br&gt;Mentions tweet body&lt;br&gt;Link&lt;br&gt;Cc&lt;br&gt;RT&lt;br&gt;RT author&lt;br&gt;Fav&lt;br&gt;Fv author&lt;br&gt;Mentions&lt;br&gt;Replies&lt;br&gt;Who replied&lt;br&gt;Reply content&lt;br&gt;&lt;br&gt;Best regards,"/>
    <s v="UC8CPBnQ5vh85_8cwZ6gRFBQ"/>
    <s v="Petru Dumitru"/>
    <s v="http://www.youtube.com/channel/UC8CPBnQ5vh85_8cwZ6gRFBQ"/>
    <s v="UghgU3_GX8nRnngCoAEC"/>
    <s v="vp7VXgvVAPg"/>
    <s v="https://www.youtube.com/watch?v=vp7VXgvVAPg"/>
    <s v="none"/>
    <n v="0"/>
    <x v="33"/>
    <d v="2013-12-12T14:47:02.000"/>
    <m/>
    <m/>
    <s v=""/>
    <n v="1"/>
    <s v="1"/>
    <s v="1"/>
    <n v="5"/>
    <n v="5.376344086021505"/>
    <n v="0"/>
    <n v="0"/>
    <n v="0"/>
    <n v="0"/>
    <n v="88"/>
    <n v="94.6236559139785"/>
    <n v="93"/>
  </r>
  <r>
    <s v="UCerAw4EfTOnYYxLLPZAzMxQ"/>
    <s v="UC8CPBnQ5vh85_8cwZ6gRFBQ"/>
    <m/>
    <m/>
    <m/>
    <m/>
    <m/>
    <m/>
    <m/>
    <m/>
    <s v="Yes"/>
    <n v="37"/>
    <m/>
    <m/>
    <s v="Replied Comment"/>
    <x v="1"/>
    <s v="@Petru Dumitru It looks like you have a number of implicit ties (or &amp;quot;edges&amp;quot;) in each row of data: from the original author to a retweet author; from the original author to a favorite author.  If you want to import this into NodeXL, you might want to find a way (manually, if you have a small data set) to separate out each of those edges into an edge list, perhaps one for the retweeting relation and one for the favoriting relation.  (Of course, what you choose to do depends on what your research question is.)"/>
    <s v="UCerAw4EfTOnYYxLLPZAzMxQ"/>
    <s v="James Cook"/>
    <s v="http://www.youtube.com/channel/UCerAw4EfTOnYYxLLPZAzMxQ"/>
    <s v="UghgU3_GX8nRnngCoAEC"/>
    <s v="vp7VXgvVAPg"/>
    <s v="https://www.youtube.com/watch?v=vp7VXgvVAPg"/>
    <s v="none"/>
    <n v="0"/>
    <x v="34"/>
    <d v="2013-12-12T16:00:51.000"/>
    <m/>
    <m/>
    <s v=""/>
    <n v="2"/>
    <s v="1"/>
    <s v="1"/>
    <n v="2"/>
    <n v="2.0618556701030926"/>
    <n v="0"/>
    <n v="0"/>
    <n v="0"/>
    <n v="0"/>
    <n v="95"/>
    <n v="97.9381443298969"/>
    <n v="97"/>
  </r>
  <r>
    <s v="UC8CPBnQ5vh85_8cwZ6gRFBQ"/>
    <s v="UCerAw4EfTOnYYxLLPZAzMxQ"/>
    <m/>
    <m/>
    <m/>
    <m/>
    <m/>
    <m/>
    <m/>
    <m/>
    <s v="Yes"/>
    <n v="38"/>
    <m/>
    <m/>
    <s v="Commented Video"/>
    <x v="0"/>
    <s v="Thank you, Mr Cook. What about handling Twitter data already stored into an excel file? "/>
    <s v="UC8CPBnQ5vh85_8cwZ6gRFBQ"/>
    <s v="Petru Dumitru"/>
    <s v="http://www.youtube.com/channel/UC8CPBnQ5vh85_8cwZ6gRFBQ"/>
    <m/>
    <s v="vp7VXgvVAPg"/>
    <s v="https://www.youtube.com/watch?v=vp7VXgvVAPg"/>
    <s v="none"/>
    <n v="0"/>
    <x v="35"/>
    <d v="2013-12-12T06:46:55.000"/>
    <m/>
    <m/>
    <s v=""/>
    <n v="1"/>
    <s v="1"/>
    <s v="1"/>
    <n v="2"/>
    <n v="13.333333333333334"/>
    <n v="0"/>
    <n v="0"/>
    <n v="0"/>
    <n v="0"/>
    <n v="13"/>
    <n v="86.66666666666667"/>
    <n v="15"/>
  </r>
  <r>
    <s v="UCqV3NeKeh8lNw8bLTheL24g"/>
    <s v="UCo4986VKClJt42gAAOHqWtQ"/>
    <m/>
    <m/>
    <m/>
    <m/>
    <m/>
    <m/>
    <m/>
    <m/>
    <s v="No"/>
    <n v="39"/>
    <m/>
    <m/>
    <s v="Commented Video"/>
    <x v="0"/>
    <s v="Hi!!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
    <s v="UCqV3NeKeh8lNw8bLTheL24g"/>
    <s v="Μιχαήλ Πουλιάσης"/>
    <s v="http://www.youtube.com/channel/UCqV3NeKeh8lNw8bLTheL24g"/>
    <m/>
    <s v="39yXz72qdow"/>
    <s v="https://www.youtube.com/watch?v=39yXz72qdow"/>
    <s v="none"/>
    <n v="0"/>
    <x v="36"/>
    <d v="2016-08-31T12:19:18.000"/>
    <m/>
    <m/>
    <s v=""/>
    <n v="1"/>
    <s v="9"/>
    <s v="9"/>
    <n v="2"/>
    <n v="3.7735849056603774"/>
    <n v="0"/>
    <n v="0"/>
    <n v="0"/>
    <n v="0"/>
    <n v="51"/>
    <n v="96.22641509433963"/>
    <n v="53"/>
  </r>
  <r>
    <s v="UCqV3NeKeh8lNw8bLTheL24g"/>
    <s v="UCerAw4EfTOnYYxLLPZAzMxQ"/>
    <m/>
    <m/>
    <m/>
    <m/>
    <m/>
    <m/>
    <m/>
    <m/>
    <s v="No"/>
    <n v="40"/>
    <m/>
    <m/>
    <s v="Commented Video"/>
    <x v="0"/>
    <s v="Hi Dr James!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
    <s v="UCqV3NeKeh8lNw8bLTheL24g"/>
    <s v="Μιχαήλ Πουλιάσης"/>
    <s v="http://www.youtube.com/channel/UCqV3NeKeh8lNw8bLTheL24g"/>
    <m/>
    <s v="vp7VXgvVAPg"/>
    <s v="https://www.youtube.com/watch?v=vp7VXgvVAPg"/>
    <s v="none"/>
    <n v="1"/>
    <x v="37"/>
    <d v="2016-08-31T12:20:57.000"/>
    <m/>
    <m/>
    <s v=""/>
    <n v="1"/>
    <s v="9"/>
    <s v="1"/>
    <n v="2"/>
    <n v="3.6363636363636362"/>
    <n v="0"/>
    <n v="0"/>
    <n v="0"/>
    <n v="0"/>
    <n v="53"/>
    <n v="96.36363636363636"/>
    <n v="55"/>
  </r>
  <r>
    <s v="UCerAw4EfTOnYYxLLPZAzMxQ"/>
    <s v="UCadohWhKjy8YKkiOeKLb_jA"/>
    <m/>
    <m/>
    <m/>
    <m/>
    <m/>
    <m/>
    <m/>
    <m/>
    <s v="Yes"/>
    <n v="41"/>
    <m/>
    <m/>
    <s v="Replied Comment"/>
    <x v="1"/>
    <s v="Hello, Alicia.  I might be missing something in what you intend to do, but if you&amp;#39;re only looking at one tweet by one account and its replies, the simplest thing to do would be to go to Twitter and just look up that tweet.  All the replies will be listed underneath that tweet."/>
    <s v="UCerAw4EfTOnYYxLLPZAzMxQ"/>
    <s v="James Cook"/>
    <s v="http://www.youtube.com/channel/UCerAw4EfTOnYYxLLPZAzMxQ"/>
    <s v="UgzTxYmvboeRWeWUopF4AaABAg"/>
    <s v="vp7VXgvVAPg"/>
    <s v="https://www.youtube.com/watch?v=vp7VXgvVAPg"/>
    <s v="none"/>
    <n v="0"/>
    <x v="38"/>
    <d v="2018-03-23T13:11:16.000"/>
    <m/>
    <m/>
    <s v=""/>
    <n v="2"/>
    <s v="1"/>
    <s v="1"/>
    <n v="1"/>
    <n v="1.8181818181818181"/>
    <n v="0"/>
    <n v="0"/>
    <n v="0"/>
    <n v="0"/>
    <n v="54"/>
    <n v="98.18181818181819"/>
    <n v="55"/>
  </r>
  <r>
    <s v="UCadohWhKjy8YKkiOeKLb_jA"/>
    <s v="UCadohWhKjy8YKkiOeKLb_jA"/>
    <m/>
    <m/>
    <m/>
    <m/>
    <m/>
    <m/>
    <m/>
    <m/>
    <s v="No"/>
    <n v="42"/>
    <m/>
    <m/>
    <s v="Replied Comment"/>
    <x v="1"/>
    <s v="Hi James, I am a PhD student and I would like to analyze controversial tweets which caused lots of different reactions, so what I would need to collect are specifid tweets which were published by other accounts maybe years ago and all the different replies to that specific tweet (I am talking about more tan 500 replies), I tried a software to download the comments and I was able to download only the tweets from an account not the replies to the comments. I hope now I explained myself, thanks in advance."/>
    <s v="UCadohWhKjy8YKkiOeKLb_jA"/>
    <s v="Alicia Bernal"/>
    <s v="http://www.youtube.com/channel/UCadohWhKjy8YKkiOeKLb_jA"/>
    <s v="UgzTxYmvboeRWeWUopF4AaABAg"/>
    <s v="vp7VXgvVAPg"/>
    <s v="https://www.youtube.com/watch?v=vp7VXgvVAPg"/>
    <s v="none"/>
    <n v="0"/>
    <x v="39"/>
    <d v="2018-03-23T18:55:25.000"/>
    <m/>
    <m/>
    <s v=""/>
    <n v="2"/>
    <s v="1"/>
    <s v="1"/>
    <n v="1"/>
    <n v="1.0869565217391304"/>
    <n v="1"/>
    <n v="1.0869565217391304"/>
    <n v="0"/>
    <n v="0"/>
    <n v="90"/>
    <n v="97.82608695652173"/>
    <n v="92"/>
  </r>
  <r>
    <s v="UCerAw4EfTOnYYxLLPZAzMxQ"/>
    <s v="UCadohWhKjy8YKkiOeKLb_jA"/>
    <m/>
    <m/>
    <m/>
    <m/>
    <m/>
    <m/>
    <m/>
    <m/>
    <s v="Yes"/>
    <n v="43"/>
    <m/>
    <m/>
    <s v="Replied Comment"/>
    <x v="1"/>
    <s v="Ah, I see.  NodeXL isn&amp;#39;t really a good option for this, unfortunately.  Have you looked into the TwitteR package for the statistical program R?"/>
    <s v="UCerAw4EfTOnYYxLLPZAzMxQ"/>
    <s v="James Cook"/>
    <s v="http://www.youtube.com/channel/UCerAw4EfTOnYYxLLPZAzMxQ"/>
    <s v="UgzTxYmvboeRWeWUopF4AaABAg"/>
    <s v="vp7VXgvVAPg"/>
    <s v="https://www.youtube.com/watch?v=vp7VXgvVAPg"/>
    <s v="none"/>
    <n v="0"/>
    <x v="40"/>
    <d v="2018-03-26T00:26:07.000"/>
    <m/>
    <m/>
    <s v=""/>
    <n v="2"/>
    <s v="1"/>
    <s v="1"/>
    <n v="1"/>
    <n v="3.8461538461538463"/>
    <n v="1"/>
    <n v="3.8461538461538463"/>
    <n v="0"/>
    <n v="0"/>
    <n v="24"/>
    <n v="92.3076923076923"/>
    <n v="26"/>
  </r>
  <r>
    <s v="UCadohWhKjy8YKkiOeKLb_jA"/>
    <s v="UCadohWhKjy8YKkiOeKLb_jA"/>
    <m/>
    <m/>
    <m/>
    <m/>
    <m/>
    <m/>
    <m/>
    <m/>
    <s v="No"/>
    <n v="44"/>
    <m/>
    <m/>
    <s v="Replied Comment"/>
    <x v="1"/>
    <s v="I wil check. Thanks for your help"/>
    <s v="UCadohWhKjy8YKkiOeKLb_jA"/>
    <s v="Alicia Bernal"/>
    <s v="http://www.youtube.com/channel/UCadohWhKjy8YKkiOeKLb_jA"/>
    <s v="UgzTxYmvboeRWeWUopF4AaABAg"/>
    <s v="vp7VXgvVAPg"/>
    <s v="https://www.youtube.com/watch?v=vp7VXgvVAPg"/>
    <s v="none"/>
    <n v="0"/>
    <x v="41"/>
    <d v="2018-03-27T20:45:52.000"/>
    <m/>
    <m/>
    <s v=""/>
    <n v="2"/>
    <s v="1"/>
    <s v="1"/>
    <n v="0"/>
    <n v="0"/>
    <n v="0"/>
    <n v="0"/>
    <n v="0"/>
    <n v="0"/>
    <n v="7"/>
    <n v="100"/>
    <n v="7"/>
  </r>
  <r>
    <s v="UCadohWhKjy8YKkiOeKLb_jA"/>
    <s v="UCerAw4EfTOnYYxLLPZAzMxQ"/>
    <m/>
    <m/>
    <m/>
    <m/>
    <m/>
    <m/>
    <m/>
    <m/>
    <s v="Yes"/>
    <n v="45"/>
    <m/>
    <m/>
    <s v="Commented Video"/>
    <x v="0"/>
    <s v="Thanks for your video Mr. Cook, I would like to know if there is an option to import the replies from a specific tweet of and specific Twitter account, I need to analyze the replies to only one coment. Could you please help me with this? Thanks in advance!"/>
    <s v="UCadohWhKjy8YKkiOeKLb_jA"/>
    <s v="Alicia Bernal"/>
    <s v="http://www.youtube.com/channel/UCadohWhKjy8YKkiOeKLb_jA"/>
    <m/>
    <s v="vp7VXgvVAPg"/>
    <s v="https://www.youtube.com/watch?v=vp7VXgvVAPg"/>
    <s v="none"/>
    <n v="0"/>
    <x v="42"/>
    <d v="2018-03-22T20:46:11.000"/>
    <m/>
    <m/>
    <s v=""/>
    <n v="1"/>
    <s v="1"/>
    <s v="1"/>
    <n v="1"/>
    <n v="2.0408163265306123"/>
    <n v="0"/>
    <n v="0"/>
    <n v="0"/>
    <n v="0"/>
    <n v="48"/>
    <n v="97.95918367346938"/>
    <n v="49"/>
  </r>
  <r>
    <s v="UCRplO5uLNC-QOf4ZxjI6OaA"/>
    <s v="UCudmJpNyT3lLYSTkmkhDm8w"/>
    <m/>
    <m/>
    <m/>
    <m/>
    <m/>
    <m/>
    <m/>
    <m/>
    <s v="No"/>
    <n v="46"/>
    <m/>
    <m/>
    <s v="Commented Video"/>
    <x v="0"/>
    <s v="mantab kak...mana yg vide 2 kak?"/>
    <s v="UCRplO5uLNC-QOf4ZxjI6OaA"/>
    <s v="ali [علي] 阿里 Maksum"/>
    <s v="http://www.youtube.com/channel/UCRplO5uLNC-QOf4ZxjI6OaA"/>
    <m/>
    <s v="hVfI1U7uHR4"/>
    <s v="https://www.youtube.com/watch?v=hVfI1U7uHR4"/>
    <s v="none"/>
    <n v="0"/>
    <x v="43"/>
    <d v="2019-05-08T08:17:27.000"/>
    <m/>
    <m/>
    <s v=""/>
    <n v="1"/>
    <s v="13"/>
    <s v="13"/>
    <n v="0"/>
    <n v="0"/>
    <n v="0"/>
    <n v="0"/>
    <n v="0"/>
    <n v="0"/>
    <n v="7"/>
    <n v="100"/>
    <n v="7"/>
  </r>
  <r>
    <s v="UCRwYXX2La_JD4KoA6hZqIYw"/>
    <s v="UCudmJpNyT3lLYSTkmkhDm8w"/>
    <m/>
    <m/>
    <m/>
    <m/>
    <m/>
    <m/>
    <m/>
    <m/>
    <s v="No"/>
    <n v="47"/>
    <m/>
    <m/>
    <s v="Commented Video"/>
    <x v="0"/>
    <s v="Terima kasih"/>
    <s v="UCRwYXX2La_JD4KoA6hZqIYw"/>
    <s v="Agung Purnomo"/>
    <s v="http://www.youtube.com/channel/UCRwYXX2La_JD4KoA6hZqIYw"/>
    <m/>
    <s v="hVfI1U7uHR4"/>
    <s v="https://www.youtube.com/watch?v=hVfI1U7uHR4"/>
    <s v="none"/>
    <n v="0"/>
    <x v="44"/>
    <d v="2019-10-21T04:51:13.000"/>
    <m/>
    <m/>
    <s v=""/>
    <n v="1"/>
    <s v="13"/>
    <s v="13"/>
    <n v="0"/>
    <n v="0"/>
    <n v="0"/>
    <n v="0"/>
    <n v="0"/>
    <n v="0"/>
    <n v="2"/>
    <n v="100"/>
    <n v="2"/>
  </r>
  <r>
    <s v="UCOosNpm4X6UrnhAUxCEKY8A"/>
    <s v="UCudmJpNyT3lLYSTkmkhDm8w"/>
    <m/>
    <m/>
    <m/>
    <m/>
    <m/>
    <m/>
    <m/>
    <m/>
    <s v="No"/>
    <n v="48"/>
    <m/>
    <m/>
    <s v="Commented Video"/>
    <x v="0"/>
    <s v="kak, ada link atau tutor buat instal nodeXLnya ngga?"/>
    <s v="UCOosNpm4X6UrnhAUxCEKY8A"/>
    <s v="dinda futhikhumaira"/>
    <s v="http://www.youtube.com/channel/UCOosNpm4X6UrnhAUxCEKY8A"/>
    <m/>
    <s v="hVfI1U7uHR4"/>
    <s v="https://www.youtube.com/watch?v=hVfI1U7uHR4"/>
    <s v="none"/>
    <n v="1"/>
    <x v="45"/>
    <d v="2021-09-27T13:02:20.000"/>
    <m/>
    <m/>
    <s v=""/>
    <n v="1"/>
    <s v="13"/>
    <s v="13"/>
    <n v="0"/>
    <n v="0"/>
    <n v="0"/>
    <n v="0"/>
    <n v="0"/>
    <n v="0"/>
    <n v="9"/>
    <n v="100"/>
    <n v="9"/>
  </r>
  <r>
    <s v="UCLIhyce5kxvdas1PvQVkSkg"/>
    <s v="UCerAw4EfTOnYYxLLPZAzMxQ"/>
    <m/>
    <m/>
    <m/>
    <m/>
    <m/>
    <m/>
    <m/>
    <m/>
    <s v="No"/>
    <n v="49"/>
    <m/>
    <m/>
    <s v="Commented Video"/>
    <x v="0"/>
    <s v="I really appreciate this, much thanks for putting this out there! :) May I please request that you shoot videos in the future perhaps with the Cobalt package in R, the white and black don&amp;#39;t fare well with my dyslexia. Different colour schemes and closer-up windows also make for less visual stress. Of course, this is for Augusta so I understand either way and am grateful just to have access to this."/>
    <s v="UCLIhyce5kxvdas1PvQVkSkg"/>
    <s v="Fond Thinker"/>
    <s v="http://www.youtube.com/channel/UCLIhyce5kxvdas1PvQVkSkg"/>
    <m/>
    <s v="bCENPBWjEaE"/>
    <s v="https://www.youtube.com/watch?v=bCENPBWjEaE"/>
    <s v="none"/>
    <n v="0"/>
    <x v="46"/>
    <d v="2021-04-25T15:55:27.000"/>
    <m/>
    <m/>
    <s v=""/>
    <n v="1"/>
    <s v="1"/>
    <s v="1"/>
    <n v="3"/>
    <n v="4.054054054054054"/>
    <n v="1"/>
    <n v="1.3513513513513513"/>
    <n v="0"/>
    <n v="0"/>
    <n v="70"/>
    <n v="94.5945945945946"/>
    <n v="74"/>
  </r>
  <r>
    <s v="UCOAzGG0Pm_MiO-SQ2Dc-Wdg"/>
    <s v="UCerAw4EfTOnYYxLLPZAzMxQ"/>
    <m/>
    <m/>
    <m/>
    <m/>
    <m/>
    <m/>
    <m/>
    <m/>
    <s v="Yes"/>
    <n v="50"/>
    <m/>
    <m/>
    <s v="Commented Video"/>
    <x v="0"/>
    <s v="Thank you for this video. But I can download historical tweets from a previous timeline? Can you please share codes of collecting historical tweets from an specific timeline?"/>
    <s v="UCOAzGG0Pm_MiO-SQ2Dc-Wdg"/>
    <s v="Zahed Arman"/>
    <s v="http://www.youtube.com/channel/UCOAzGG0Pm_MiO-SQ2Dc-Wdg"/>
    <m/>
    <s v="bCENPBWjEaE"/>
    <s v="https://www.youtube.com/watch?v=bCENPBWjEaE"/>
    <s v="none"/>
    <n v="0"/>
    <x v="47"/>
    <d v="2021-05-06T22:02:17.000"/>
    <m/>
    <m/>
    <s v=""/>
    <n v="2"/>
    <s v="1"/>
    <s v="1"/>
    <n v="1"/>
    <n v="3.5714285714285716"/>
    <n v="0"/>
    <n v="0"/>
    <n v="0"/>
    <n v="0"/>
    <n v="27"/>
    <n v="96.42857142857143"/>
    <n v="28"/>
  </r>
  <r>
    <s v="UCerAw4EfTOnYYxLLPZAzMxQ"/>
    <s v="UCOAzGG0Pm_MiO-SQ2Dc-Wdg"/>
    <m/>
    <m/>
    <m/>
    <m/>
    <m/>
    <m/>
    <m/>
    <m/>
    <s v="Yes"/>
    <n v="51"/>
    <m/>
    <m/>
    <s v="Replied Comment"/>
    <x v="1"/>
    <s v="to do this, you&amp;#39;d need to apply for special privileges at &lt;a href=&quot;http://developer.twitter.com/&quot;&gt;developer.twitter.com&lt;/a&gt;."/>
    <s v="UCerAw4EfTOnYYxLLPZAzMxQ"/>
    <s v="James Cook"/>
    <s v="http://www.youtube.com/channel/UCerAw4EfTOnYYxLLPZAzMxQ"/>
    <s v="Ugw82uvq2WwXsJNkNe54AaABAg"/>
    <s v="bCENPBWjEaE"/>
    <s v="https://www.youtube.com/watch?v=bCENPBWjEaE"/>
    <s v="none"/>
    <n v="0"/>
    <x v="48"/>
    <d v="2021-05-07T16:57:13.000"/>
    <s v=" http://developer.twitter.com/"/>
    <s v="twitter.com"/>
    <s v=""/>
    <n v="1"/>
    <s v="1"/>
    <s v="1"/>
    <n v="0"/>
    <n v="0"/>
    <n v="0"/>
    <n v="0"/>
    <n v="0"/>
    <n v="0"/>
    <n v="23"/>
    <n v="100"/>
    <n v="23"/>
  </r>
  <r>
    <s v="UCOAzGG0Pm_MiO-SQ2Dc-Wdg"/>
    <s v="UCerAw4EfTOnYYxLLPZAzMxQ"/>
    <m/>
    <m/>
    <m/>
    <m/>
    <m/>
    <m/>
    <m/>
    <m/>
    <s v="Yes"/>
    <n v="52"/>
    <m/>
    <m/>
    <s v="Commented Video"/>
    <x v="0"/>
    <s v="Thank you for this video. But I can download historical tweets from a previous timeline? Can you please share codes of collecting historical tweets from an specific timeline?"/>
    <s v="UCOAzGG0Pm_MiO-SQ2Dc-Wdg"/>
    <s v="Zahed Arman"/>
    <s v="http://www.youtube.com/channel/UCOAzGG0Pm_MiO-SQ2Dc-Wdg"/>
    <m/>
    <s v="bCENPBWjEaE"/>
    <s v="https://www.youtube.com/watch?v=bCENPBWjEaE"/>
    <s v="none"/>
    <n v="0"/>
    <x v="49"/>
    <d v="2021-05-06T22:03:15.000"/>
    <m/>
    <m/>
    <s v=""/>
    <n v="2"/>
    <s v="1"/>
    <s v="1"/>
    <n v="1"/>
    <n v="3.5714285714285716"/>
    <n v="0"/>
    <n v="0"/>
    <n v="0"/>
    <n v="0"/>
    <n v="27"/>
    <n v="96.42857142857143"/>
    <n v="28"/>
  </r>
  <r>
    <s v="UCuh2m_8m5pUxe9NMlGxQ1dQ"/>
    <s v="UCerAw4EfTOnYYxLLPZAzMxQ"/>
    <m/>
    <m/>
    <m/>
    <m/>
    <m/>
    <m/>
    <m/>
    <m/>
    <s v="No"/>
    <n v="53"/>
    <m/>
    <m/>
    <s v="Commented Video"/>
    <x v="0"/>
    <s v="This is fantastic, thank you for taking the time to share this!"/>
    <s v="UCuh2m_8m5pUxe9NMlGxQ1dQ"/>
    <s v="Jeffrey Anthony"/>
    <s v="http://www.youtube.com/channel/UCuh2m_8m5pUxe9NMlGxQ1dQ"/>
    <m/>
    <s v="bCENPBWjEaE"/>
    <s v="https://www.youtube.com/watch?v=bCENPBWjEaE"/>
    <s v="none"/>
    <n v="0"/>
    <x v="50"/>
    <d v="2021-05-31T22:01:27.000"/>
    <m/>
    <m/>
    <s v=""/>
    <n v="1"/>
    <s v="1"/>
    <s v="1"/>
    <n v="2"/>
    <n v="16.666666666666668"/>
    <n v="0"/>
    <n v="0"/>
    <n v="0"/>
    <n v="0"/>
    <n v="10"/>
    <n v="83.33333333333333"/>
    <n v="12"/>
  </r>
  <r>
    <s v="UCerAw4EfTOnYYxLLPZAzMxQ"/>
    <s v="UC9LLQRE_1OPkWUCda2b_kmg"/>
    <m/>
    <m/>
    <m/>
    <m/>
    <m/>
    <m/>
    <m/>
    <m/>
    <s v="Yes"/>
    <n v="54"/>
    <m/>
    <m/>
    <s v="Replied Comment"/>
    <x v="1"/>
    <s v="Hello!  Thanks for writing in.  The package twitteR has not been as reliable in use lately as rtweet.  I just ran some rtweet scripts to check and verify that they still work (Twitter can always change an API in ways that temporarily break R packages) -- and for me they do, which suggests that this program may be local for you (or it may be based on the uniqueness of your script).  If you&amp;#39;d like, feel free to send a script to me at james.m.cook@&lt;a href=&quot;http://maine.edu/&quot;&gt;maine.edu&lt;/a&gt; over email. One simple question: with authorization, rtweet generates a pop-up window.  Have you checked to make sure that you haven&amp;#39;t blocked pop-up windows in the browser you&amp;#39;re using?"/>
    <s v="UCerAw4EfTOnYYxLLPZAzMxQ"/>
    <s v="James Cook"/>
    <s v="http://www.youtube.com/channel/UCerAw4EfTOnYYxLLPZAzMxQ"/>
    <s v="UgxYUzqtN3NCCtXTapZ4AaABAg"/>
    <s v="bCENPBWjEaE"/>
    <s v="https://www.youtube.com/watch?v=bCENPBWjEaE"/>
    <s v="none"/>
    <n v="1"/>
    <x v="51"/>
    <d v="2021-11-22T13:48:56.000"/>
    <s v=" http://maine.edu/"/>
    <s v="maine.edu"/>
    <s v=""/>
    <n v="1"/>
    <s v="1"/>
    <s v="1"/>
    <n v="4"/>
    <n v="3.053435114503817"/>
    <n v="1"/>
    <n v="0.7633587786259542"/>
    <n v="0"/>
    <n v="0"/>
    <n v="126"/>
    <n v="96.18320610687023"/>
    <n v="131"/>
  </r>
  <r>
    <s v="UC9LLQRE_1OPkWUCda2b_kmg"/>
    <s v="UCerAw4EfTOnYYxLLPZAzMxQ"/>
    <m/>
    <m/>
    <m/>
    <m/>
    <m/>
    <m/>
    <m/>
    <m/>
    <s v="Yes"/>
    <n v="55"/>
    <m/>
    <m/>
    <s v="Commented Video"/>
    <x v="0"/>
    <s v="Hi James,&lt;br&gt;&lt;br&gt;That’s a great explanation, I have an  issue in getting code using twitteR, rtweet against v2 API. With twitteR I get an error,  OAuth error, incorrectly called  setup_twitter_oauth. With rtweet, i get a 0 value. Almost stuck and frustrated for 3 days now. It’s not hard but I don’t get what’s wrong. Though online platforms solutions didn’t help me. Would you be able to help ?"/>
    <s v="UC9LLQRE_1OPkWUCda2b_kmg"/>
    <s v="sarvanimaheedhara"/>
    <s v="http://www.youtube.com/channel/UC9LLQRE_1OPkWUCda2b_kmg"/>
    <m/>
    <s v="bCENPBWjEaE"/>
    <s v="https://www.youtube.com/watch?v=bCENPBWjEaE"/>
    <s v="none"/>
    <n v="0"/>
    <x v="52"/>
    <d v="2021-11-21T01:20:54.000"/>
    <m/>
    <m/>
    <s v=""/>
    <n v="1"/>
    <s v="1"/>
    <s v="1"/>
    <n v="1"/>
    <n v="1.3513513513513513"/>
    <n v="8"/>
    <n v="10.81081081081081"/>
    <n v="0"/>
    <n v="0"/>
    <n v="65"/>
    <n v="87.83783783783784"/>
    <n v="74"/>
  </r>
  <r>
    <s v="UC2AjGU-bTVnwnKI40ucluew"/>
    <s v="UCRZps3dH47Yd7pj8LmS7vmg"/>
    <m/>
    <m/>
    <m/>
    <m/>
    <m/>
    <m/>
    <m/>
    <m/>
    <s v="No"/>
    <n v="56"/>
    <m/>
    <m/>
    <s v="Commented Video"/>
    <x v="0"/>
    <s v="Fantástico, Tulio! Você tem mais videos ensinando a trabalhar com o NodeXL? Tenho interesse em identificar quais páginas os fãs da minha página seguem, é possível essa análise com o NodeXL?"/>
    <s v="UC2AjGU-bTVnwnKI40ucluew"/>
    <s v="Klinger Lima"/>
    <s v="http://www.youtube.com/channel/UC2AjGU-bTVnwnKI40ucluew"/>
    <m/>
    <s v="x9IzmOWAlnA"/>
    <s v="https://www.youtube.com/watch?v=x9IzmOWAlnA"/>
    <s v="none"/>
    <n v="0"/>
    <x v="53"/>
    <d v="2017-03-02T15:53:11.000"/>
    <m/>
    <m/>
    <s v=""/>
    <n v="1"/>
    <s v="21"/>
    <s v="21"/>
    <n v="0"/>
    <n v="0"/>
    <n v="0"/>
    <n v="0"/>
    <n v="0"/>
    <n v="0"/>
    <n v="31"/>
    <n v="100"/>
    <n v="31"/>
  </r>
  <r>
    <s v="UCh5Vq5sKzfQftZkz3sqj8zQ"/>
    <s v="UCbtGUyX5iHwuOUqh6mKuEvw"/>
    <m/>
    <m/>
    <m/>
    <m/>
    <m/>
    <m/>
    <m/>
    <m/>
    <s v="No"/>
    <n v="57"/>
    <m/>
    <m/>
    <s v="Replied Comment"/>
    <x v="1"/>
    <s v="Infelizmente não fiz a continuação dos videos... =["/>
    <s v="UCh5Vq5sKzfQftZkz3sqj8zQ"/>
    <s v="Max Stabile"/>
    <s v="http://www.youtube.com/channel/UCh5Vq5sKzfQftZkz3sqj8zQ"/>
    <s v="Ugyrqnf8LZWHUYRwKiJ4AaABAg"/>
    <s v="WHociTCrX48"/>
    <s v="https://www.youtube.com/watch?v=WHociTCrX48"/>
    <s v="none"/>
    <n v="0"/>
    <x v="54"/>
    <d v="2017-02-18T21:04:30.000"/>
    <m/>
    <m/>
    <s v=""/>
    <n v="1"/>
    <s v="8"/>
    <s v="8"/>
    <n v="0"/>
    <n v="0"/>
    <n v="0"/>
    <n v="0"/>
    <n v="0"/>
    <n v="0"/>
    <n v="7"/>
    <n v="100"/>
    <n v="7"/>
  </r>
  <r>
    <s v="UCbtGUyX5iHwuOUqh6mKuEvw"/>
    <s v="UCoVrqzF4FU2Lv5vnB_JXchA"/>
    <m/>
    <m/>
    <m/>
    <m/>
    <m/>
    <m/>
    <m/>
    <m/>
    <s v="No"/>
    <n v="58"/>
    <m/>
    <m/>
    <s v="Commented Video"/>
    <x v="0"/>
    <s v="onde ta a continuação desses videos ?"/>
    <s v="UCbtGUyX5iHwuOUqh6mKuEvw"/>
    <s v="Michel Oliveira"/>
    <s v="http://www.youtube.com/channel/UCbtGUyX5iHwuOUqh6mKuEvw"/>
    <m/>
    <s v="WHociTCrX48"/>
    <s v="https://www.youtube.com/watch?v=WHociTCrX48"/>
    <s v="none"/>
    <n v="1"/>
    <x v="55"/>
    <d v="2013-10-27T15:46:36.000"/>
    <m/>
    <m/>
    <s v=""/>
    <n v="1"/>
    <s v="8"/>
    <s v="8"/>
    <n v="0"/>
    <n v="0"/>
    <n v="0"/>
    <n v="0"/>
    <n v="0"/>
    <n v="0"/>
    <n v="6"/>
    <n v="100"/>
    <n v="6"/>
  </r>
  <r>
    <s v="UCh5Vq5sKzfQftZkz3sqj8zQ"/>
    <s v="UCz799FrP_bspgWNMBVRz5JQ"/>
    <m/>
    <m/>
    <m/>
    <m/>
    <m/>
    <m/>
    <m/>
    <m/>
    <s v="No"/>
    <n v="59"/>
    <m/>
    <m/>
    <s v="Replied Comment"/>
    <x v="1"/>
    <s v="Infelizmente não fiz a continuação dos videos... =["/>
    <s v="UCh5Vq5sKzfQftZkz3sqj8zQ"/>
    <s v="Max Stabile"/>
    <s v="http://www.youtube.com/channel/UCh5Vq5sKzfQftZkz3sqj8zQ"/>
    <s v="UgifF8TqLqyg_3gCoAEC"/>
    <s v="WHociTCrX48"/>
    <s v="https://www.youtube.com/watch?v=WHociTCrX48"/>
    <s v="none"/>
    <n v="0"/>
    <x v="56"/>
    <d v="2017-02-18T21:04:24.000"/>
    <m/>
    <m/>
    <s v=""/>
    <n v="1"/>
    <s v="8"/>
    <s v="8"/>
    <n v="0"/>
    <n v="0"/>
    <n v="0"/>
    <n v="0"/>
    <n v="0"/>
    <n v="0"/>
    <n v="7"/>
    <n v="100"/>
    <n v="7"/>
  </r>
  <r>
    <s v="UCz799FrP_bspgWNMBVRz5JQ"/>
    <s v="UCoVrqzF4FU2Lv5vnB_JXchA"/>
    <m/>
    <m/>
    <m/>
    <m/>
    <m/>
    <m/>
    <m/>
    <m/>
    <s v="No"/>
    <n v="60"/>
    <m/>
    <m/>
    <s v="Commented Video"/>
    <x v="0"/>
    <s v="Ola.. tambem gostaria de saber aonde está a continuação do video.. obrigado"/>
    <s v="UCz799FrP_bspgWNMBVRz5JQ"/>
    <s v="SuperMarioVT"/>
    <s v="http://www.youtube.com/channel/UCz799FrP_bspgWNMBVRz5JQ"/>
    <m/>
    <s v="WHociTCrX48"/>
    <s v="https://www.youtube.com/watch?v=WHociTCrX48"/>
    <s v="none"/>
    <n v="1"/>
    <x v="57"/>
    <d v="2014-08-21T05:03:53.000"/>
    <m/>
    <m/>
    <s v=""/>
    <n v="1"/>
    <s v="8"/>
    <s v="8"/>
    <n v="0"/>
    <n v="0"/>
    <n v="0"/>
    <n v="0"/>
    <n v="0"/>
    <n v="0"/>
    <n v="12"/>
    <n v="100"/>
    <n v="12"/>
  </r>
  <r>
    <s v="UCh5Vq5sKzfQftZkz3sqj8zQ"/>
    <s v="UC8VGjN2NAbDcGbnw8kcioqw"/>
    <m/>
    <m/>
    <m/>
    <m/>
    <m/>
    <m/>
    <m/>
    <m/>
    <s v="No"/>
    <n v="61"/>
    <m/>
    <m/>
    <s v="Replied Comment"/>
    <x v="1"/>
    <s v="Oi, André, obrigado. COmo foram os estudos até hoje? Abs"/>
    <s v="UCh5Vq5sKzfQftZkz3sqj8zQ"/>
    <s v="Max Stabile"/>
    <s v="http://www.youtube.com/channel/UCh5Vq5sKzfQftZkz3sqj8zQ"/>
    <s v="UgjUQsL8290inngCoAEC"/>
    <s v="WHociTCrX48"/>
    <s v="https://www.youtube.com/watch?v=WHociTCrX48"/>
    <s v="none"/>
    <n v="0"/>
    <x v="58"/>
    <d v="2017-02-18T21:04:08.000"/>
    <m/>
    <m/>
    <s v=""/>
    <n v="1"/>
    <s v="8"/>
    <s v="8"/>
    <n v="0"/>
    <n v="0"/>
    <n v="0"/>
    <n v="0"/>
    <n v="0"/>
    <n v="0"/>
    <n v="10"/>
    <n v="100"/>
    <n v="10"/>
  </r>
  <r>
    <s v="UC8VGjN2NAbDcGbnw8kcioqw"/>
    <s v="UCoVrqzF4FU2Lv5vnB_JXchA"/>
    <m/>
    <m/>
    <m/>
    <m/>
    <m/>
    <m/>
    <m/>
    <m/>
    <s v="No"/>
    <n v="62"/>
    <m/>
    <m/>
    <s v="Commented Video"/>
    <x v="0"/>
    <s v="Passei aqui para parabenizá-lo pelo vídeo. Estava apanhando muito tentando aprender sozinho alguns procedimentos aqui tratados de forma extremamente simples. Muito obrigado, ajudou muito no prosseguimento de minha pesquisa."/>
    <s v="UC8VGjN2NAbDcGbnw8kcioqw"/>
    <s v="André Jakob"/>
    <s v="http://www.youtube.com/channel/UC8VGjN2NAbDcGbnw8kcioqw"/>
    <m/>
    <s v="WHociTCrX48"/>
    <s v="https://www.youtube.com/watch?v=WHociTCrX48"/>
    <s v="none"/>
    <n v="1"/>
    <x v="59"/>
    <d v="2015-01-04T07:45:35.000"/>
    <m/>
    <m/>
    <s v=""/>
    <n v="1"/>
    <s v="8"/>
    <s v="8"/>
    <n v="0"/>
    <n v="0"/>
    <n v="0"/>
    <n v="0"/>
    <n v="0"/>
    <n v="0"/>
    <n v="30"/>
    <n v="100"/>
    <n v="30"/>
  </r>
  <r>
    <s v="UC3SVNW8fO0QB0VQgw-Cboeg"/>
    <s v="UCB14GBHsqGQ0iUL121nwOKQ"/>
    <m/>
    <m/>
    <m/>
    <m/>
    <m/>
    <m/>
    <m/>
    <m/>
    <s v="No"/>
    <n v="63"/>
    <m/>
    <m/>
    <s v="Replied Comment"/>
    <x v="1"/>
    <s v="+gustavo camargos Olá Gustavo tudo bem? Também estou fazendo um artigo sobre o tema. Te mandei mensagem no fb, dá uma conferida lá. Abraços"/>
    <s v="UC3SVNW8fO0QB0VQgw-Cboeg"/>
    <s v="Bruno VP"/>
    <s v="http://www.youtube.com/channel/UC3SVNW8fO0QB0VQgw-Cboeg"/>
    <s v="UggQXnyZNDpSGXgCoAEC"/>
    <s v="WHociTCrX48"/>
    <s v="https://www.youtube.com/watch?v=WHociTCrX48"/>
    <s v="none"/>
    <n v="1"/>
    <x v="60"/>
    <d v="2015-10-17T19:48:42.000"/>
    <m/>
    <m/>
    <s v=""/>
    <n v="1"/>
    <s v="8"/>
    <s v="8"/>
    <n v="0"/>
    <n v="0"/>
    <n v="0"/>
    <n v="0"/>
    <n v="0"/>
    <n v="0"/>
    <n v="24"/>
    <n v="100"/>
    <n v="24"/>
  </r>
  <r>
    <s v="UCh5Vq5sKzfQftZkz3sqj8zQ"/>
    <s v="UCB14GBHsqGQ0iUL121nwOKQ"/>
    <m/>
    <m/>
    <m/>
    <m/>
    <m/>
    <m/>
    <m/>
    <m/>
    <s v="No"/>
    <n v="64"/>
    <m/>
    <m/>
    <s v="Replied Comment"/>
    <x v="1"/>
    <s v="Oi gente, abandonei o canal há muito tempo. peço desculpas! Estamos trabalhadno agora diretamente no blog do IBPAD &lt;a href=&quot;http://blog.ibpad.com.br&quot;&gt;blog.ibpad.com.br&lt;/a&gt; abs!"/>
    <s v="UCh5Vq5sKzfQftZkz3sqj8zQ"/>
    <s v="Max Stabile"/>
    <s v="http://www.youtube.com/channel/UCh5Vq5sKzfQftZkz3sqj8zQ"/>
    <s v="UggQXnyZNDpSGXgCoAEC"/>
    <s v="WHociTCrX48"/>
    <s v="https://www.youtube.com/watch?v=WHociTCrX48"/>
    <s v="none"/>
    <n v="0"/>
    <x v="61"/>
    <d v="2017-02-18T21:03:49.000"/>
    <s v=" http://blog.ibpad.com.br"/>
    <s v="com.br"/>
    <s v=""/>
    <n v="1"/>
    <s v="8"/>
    <s v="8"/>
    <n v="0"/>
    <n v="0"/>
    <n v="0"/>
    <n v="0"/>
    <n v="0"/>
    <n v="0"/>
    <n v="31"/>
    <n v="100"/>
    <n v="31"/>
  </r>
  <r>
    <s v="UCB14GBHsqGQ0iUL121nwOKQ"/>
    <s v="UCoVrqzF4FU2Lv5vnB_JXchA"/>
    <m/>
    <m/>
    <m/>
    <m/>
    <m/>
    <m/>
    <m/>
    <m/>
    <s v="No"/>
    <n v="65"/>
    <m/>
    <m/>
    <s v="Commented Video"/>
    <x v="0"/>
    <s v="Olá, ótimo vídeo. Tem alguma previsão para o próximo?&lt;br&gt;Estou fazendo TCC sobre politica nas redes sociais  e estou trabalhando com o nodexl mas ele  importa apenas 200 ultimos tweets, saberia me dizer se tem alguma forma de pegar informação anterior? No nodexl ou utilizando outra forma.&lt;br&gt;Agradeço desde já."/>
    <s v="UCB14GBHsqGQ0iUL121nwOKQ"/>
    <s v="gustavo camargos"/>
    <s v="http://www.youtube.com/channel/UCB14GBHsqGQ0iUL121nwOKQ"/>
    <m/>
    <s v="WHociTCrX48"/>
    <s v="https://www.youtube.com/watch?v=WHociTCrX48"/>
    <s v="none"/>
    <n v="2"/>
    <x v="62"/>
    <d v="2015-04-08T17:57:26.000"/>
    <m/>
    <m/>
    <s v=""/>
    <n v="1"/>
    <s v="8"/>
    <s v="8"/>
    <n v="0"/>
    <n v="0"/>
    <n v="0"/>
    <n v="0"/>
    <n v="0"/>
    <n v="0"/>
    <n v="52"/>
    <n v="100"/>
    <n v="52"/>
  </r>
  <r>
    <s v="UCh5Vq5sKzfQftZkz3sqj8zQ"/>
    <s v="UCXWqZlXgy_0lF0b_br8sk0A"/>
    <m/>
    <m/>
    <m/>
    <m/>
    <m/>
    <m/>
    <m/>
    <m/>
    <s v="No"/>
    <n v="66"/>
    <m/>
    <m/>
    <s v="Replied Comment"/>
    <x v="1"/>
    <s v="OI, Moisés, é super possível. SUgiro abandonar o NodeXL e utilizar o Gephi. Na época que eu fiz o video naõ era conhecido ainda. O que acha?"/>
    <s v="UCh5Vq5sKzfQftZkz3sqj8zQ"/>
    <s v="Max Stabile"/>
    <s v="http://www.youtube.com/channel/UCh5Vq5sKzfQftZkz3sqj8zQ"/>
    <s v="UgirV-DDfVYSB3gCoAEC"/>
    <s v="WHociTCrX48"/>
    <s v="https://www.youtube.com/watch?v=WHociTCrX48"/>
    <s v="none"/>
    <n v="0"/>
    <x v="63"/>
    <d v="2017-02-18T21:03:26.000"/>
    <m/>
    <m/>
    <s v=""/>
    <n v="1"/>
    <s v="8"/>
    <s v="8"/>
    <n v="1"/>
    <n v="3.7037037037037037"/>
    <n v="0"/>
    <n v="0"/>
    <n v="0"/>
    <n v="0"/>
    <n v="26"/>
    <n v="96.29629629629629"/>
    <n v="27"/>
  </r>
  <r>
    <s v="UCXWqZlXgy_0lF0b_br8sk0A"/>
    <s v="UCoVrqzF4FU2Lv5vnB_JXchA"/>
    <m/>
    <m/>
    <m/>
    <m/>
    <m/>
    <m/>
    <m/>
    <m/>
    <s v="No"/>
    <n v="67"/>
    <m/>
    <m/>
    <s v="Commented Video"/>
    <x v="0"/>
    <s v="Olá Max, tudo certo? Parabéns pelo vídeo, muito útil.&lt;br&gt;Sou biólogo e preciso fazer um gráfico bipartido para ilustrar a interação de animais com espécies vegetais. Não estou tendo sucesso no NODEXL, você acha possível fazer?"/>
    <s v="UCXWqZlXgy_0lF0b_br8sk0A"/>
    <s v="Moisés Guimarães"/>
    <s v="http://www.youtube.com/channel/UCXWqZlXgy_0lF0b_br8sk0A"/>
    <m/>
    <s v="WHociTCrX48"/>
    <s v="https://www.youtube.com/watch?v=WHociTCrX48"/>
    <s v="none"/>
    <n v="1"/>
    <x v="64"/>
    <d v="2017-01-19T19:32:00.000"/>
    <m/>
    <m/>
    <s v=""/>
    <n v="1"/>
    <s v="8"/>
    <s v="8"/>
    <n v="0"/>
    <n v="0"/>
    <n v="0"/>
    <n v="0"/>
    <n v="0"/>
    <n v="0"/>
    <n v="37"/>
    <n v="100"/>
    <n v="37"/>
  </r>
  <r>
    <s v="UCh5Vq5sKzfQftZkz3sqj8zQ"/>
    <s v="UCoVrqzF4FU2Lv5vnB_JXchA"/>
    <m/>
    <m/>
    <m/>
    <m/>
    <m/>
    <m/>
    <m/>
    <m/>
    <s v="No"/>
    <n v="68"/>
    <m/>
    <m/>
    <s v="Commented Video"/>
    <x v="0"/>
    <s v="Oi, Rick, é possível sim. Você vai precisar utilizar o NameGen Web para isso. "/>
    <s v="UCh5Vq5sKzfQftZkz3sqj8zQ"/>
    <s v="Max Stabile"/>
    <s v="http://www.youtube.com/channel/UCh5Vq5sKzfQftZkz3sqj8zQ"/>
    <m/>
    <s v="WHociTCrX48"/>
    <s v="https://www.youtube.com/watch?v=WHociTCrX48"/>
    <s v="none"/>
    <n v="1"/>
    <x v="65"/>
    <d v="2013-10-15T20:53:03.000"/>
    <m/>
    <m/>
    <s v=""/>
    <n v="1"/>
    <s v="8"/>
    <s v="8"/>
    <n v="0"/>
    <n v="0"/>
    <n v="0"/>
    <n v="0"/>
    <n v="0"/>
    <n v="0"/>
    <n v="14"/>
    <n v="100"/>
    <n v="14"/>
  </r>
  <r>
    <s v="UCh5Vq5sKzfQftZkz3sqj8zQ"/>
    <s v="UCG6UKWK21O1SGwcuG4SaH0A"/>
    <m/>
    <m/>
    <m/>
    <m/>
    <m/>
    <m/>
    <m/>
    <m/>
    <s v="No"/>
    <n v="69"/>
    <m/>
    <m/>
    <s v="Replied Comment"/>
    <x v="1"/>
    <s v="Oi, Cássio, tudo bem? Há muito tempo não passo por aqui. Sim, é possível. Mas o mais complicado é construir a base de dados. VOcê já possui esses dados? abs"/>
    <s v="UCh5Vq5sKzfQftZkz3sqj8zQ"/>
    <s v="Max Stabile"/>
    <s v="http://www.youtube.com/channel/UCh5Vq5sKzfQftZkz3sqj8zQ"/>
    <s v="UgjqFt8feDH0mHgCoAEC"/>
    <s v="WHociTCrX48"/>
    <s v="https://www.youtube.com/watch?v=WHociTCrX48"/>
    <s v="none"/>
    <n v="0"/>
    <x v="66"/>
    <d v="2017-02-18T21:02:41.000"/>
    <m/>
    <m/>
    <s v=""/>
    <n v="1"/>
    <s v="8"/>
    <s v="8"/>
    <n v="0"/>
    <n v="0"/>
    <n v="0"/>
    <n v="0"/>
    <n v="0"/>
    <n v="0"/>
    <n v="30"/>
    <n v="100"/>
    <n v="30"/>
  </r>
  <r>
    <s v="UCG6UKWK21O1SGwcuG4SaH0A"/>
    <s v="UCG6UKWK21O1SGwcuG4SaH0A"/>
    <m/>
    <m/>
    <m/>
    <m/>
    <m/>
    <m/>
    <m/>
    <m/>
    <s v="No"/>
    <n v="70"/>
    <m/>
    <m/>
    <s v="Replied Comment"/>
    <x v="1"/>
    <s v="Então Max, tenho a base de dados organizada em excel. Estou analisando artigos com o tema open innovation. Eu poderia analisar a ligação entre autores e filiação ou entre autores e revistas onde os trabalhos foram publicados. O que acha?"/>
    <s v="UCG6UKWK21O1SGwcuG4SaH0A"/>
    <s v="Cassio Menezes"/>
    <s v="http://www.youtube.com/channel/UCG6UKWK21O1SGwcuG4SaH0A"/>
    <s v="UgjqFt8feDH0mHgCoAEC"/>
    <s v="WHociTCrX48"/>
    <s v="https://www.youtube.com/watch?v=WHociTCrX48"/>
    <s v="none"/>
    <n v="0"/>
    <x v="67"/>
    <d v="2017-02-20T01:11:39.000"/>
    <m/>
    <m/>
    <s v=""/>
    <n v="2"/>
    <s v="8"/>
    <s v="8"/>
    <n v="2"/>
    <n v="5"/>
    <n v="0"/>
    <n v="0"/>
    <n v="0"/>
    <n v="0"/>
    <n v="38"/>
    <n v="95"/>
    <n v="40"/>
  </r>
  <r>
    <s v="UCG6UKWK21O1SGwcuG4SaH0A"/>
    <s v="UCG6UKWK21O1SGwcuG4SaH0A"/>
    <m/>
    <m/>
    <m/>
    <m/>
    <m/>
    <m/>
    <m/>
    <m/>
    <s v="No"/>
    <n v="71"/>
    <m/>
    <m/>
    <s v="Replied Comment"/>
    <x v="1"/>
    <s v="baixei o NODEXL mas quando abro o excel não aparece a aba do NODEXL"/>
    <s v="UCG6UKWK21O1SGwcuG4SaH0A"/>
    <s v="Cassio Menezes"/>
    <s v="http://www.youtube.com/channel/UCG6UKWK21O1SGwcuG4SaH0A"/>
    <s v="UgjqFt8feDH0mHgCoAEC"/>
    <s v="WHociTCrX48"/>
    <s v="https://www.youtube.com/watch?v=WHociTCrX48"/>
    <s v="none"/>
    <n v="0"/>
    <x v="68"/>
    <d v="2017-02-20T01:13:42.000"/>
    <m/>
    <m/>
    <s v=""/>
    <n v="2"/>
    <s v="8"/>
    <s v="8"/>
    <n v="1"/>
    <n v="7.142857142857143"/>
    <n v="0"/>
    <n v="0"/>
    <n v="0"/>
    <n v="0"/>
    <n v="13"/>
    <n v="92.85714285714286"/>
    <n v="14"/>
  </r>
  <r>
    <s v="UCG6UKWK21O1SGwcuG4SaH0A"/>
    <s v="UCoVrqzF4FU2Lv5vnB_JXchA"/>
    <m/>
    <m/>
    <m/>
    <m/>
    <m/>
    <m/>
    <m/>
    <m/>
    <s v="No"/>
    <n v="72"/>
    <m/>
    <m/>
    <s v="Commented Video"/>
    <x v="0"/>
    <s v="Max, estou desenvolvendo um artigo de bibliometria e estou buscando um software que possa me ajudar nessa análise. Eu queria verificar os lanços entre os pesquisadores. Isso é possível utilizando o NODEXL?"/>
    <s v="UCG6UKWK21O1SGwcuG4SaH0A"/>
    <s v="Cassio Menezes"/>
    <s v="http://www.youtube.com/channel/UCG6UKWK21O1SGwcuG4SaH0A"/>
    <m/>
    <s v="WHociTCrX48"/>
    <s v="https://www.youtube.com/watch?v=WHociTCrX48"/>
    <s v="none"/>
    <n v="1"/>
    <x v="69"/>
    <d v="2017-02-12T22:34:05.000"/>
    <m/>
    <m/>
    <s v=""/>
    <n v="1"/>
    <s v="8"/>
    <s v="8"/>
    <n v="0"/>
    <n v="0"/>
    <n v="0"/>
    <n v="0"/>
    <n v="0"/>
    <n v="0"/>
    <n v="32"/>
    <n v="100"/>
    <n v="32"/>
  </r>
  <r>
    <s v="UCfgG-ovLKqB8k2KnSbx32Lw"/>
    <s v="UCoVrqzF4FU2Lv5vnB_JXchA"/>
    <m/>
    <m/>
    <m/>
    <m/>
    <m/>
    <m/>
    <m/>
    <m/>
    <s v="No"/>
    <n v="73"/>
    <m/>
    <m/>
    <s v="Commented Video"/>
    <x v="0"/>
    <s v="Muuuito Obrigada"/>
    <s v="UCfgG-ovLKqB8k2KnSbx32Lw"/>
    <s v="Elize Jacinto"/>
    <s v="http://www.youtube.com/channel/UCfgG-ovLKqB8k2KnSbx32Lw"/>
    <m/>
    <s v="WHociTCrX48"/>
    <s v="https://www.youtube.com/watch?v=WHociTCrX48"/>
    <s v="none"/>
    <n v="1"/>
    <x v="70"/>
    <d v="2018-11-29T16:06:50.000"/>
    <m/>
    <m/>
    <s v=""/>
    <n v="1"/>
    <s v="8"/>
    <s v="8"/>
    <n v="0"/>
    <n v="0"/>
    <n v="0"/>
    <n v="0"/>
    <n v="0"/>
    <n v="0"/>
    <n v="2"/>
    <n v="100"/>
    <n v="2"/>
  </r>
  <r>
    <s v="UCqocO9ovci3JuSvsYKR36HA"/>
    <s v="UCAsUVwqROYclu1B2tk74kwg"/>
    <m/>
    <m/>
    <m/>
    <m/>
    <m/>
    <m/>
    <m/>
    <m/>
    <s v="No"/>
    <n v="74"/>
    <m/>
    <m/>
    <s v="Commented Video"/>
    <x v="0"/>
    <s v="em import cái YouTube User Network 01 – standard thì nó chạy ra cái lỗi an unexpected problem occurred, lỗi này fix sao ạ"/>
    <s v="UCqocO9ovci3JuSvsYKR36HA"/>
    <s v="Nhi Trần"/>
    <s v="http://www.youtube.com/channel/UCqocO9ovci3JuSvsYKR36HA"/>
    <m/>
    <s v="aJuHtKjYySE"/>
    <s v="https://www.youtube.com/watch?v=aJuHtKjYySE"/>
    <s v="none"/>
    <n v="0"/>
    <x v="71"/>
    <d v="2022-05-13T09:50:44.000"/>
    <m/>
    <m/>
    <s v=""/>
    <n v="1"/>
    <s v="20"/>
    <s v="20"/>
    <n v="0"/>
    <n v="0"/>
    <n v="2"/>
    <n v="8.695652173913043"/>
    <n v="0"/>
    <n v="0"/>
    <n v="21"/>
    <n v="91.30434782608695"/>
    <n v="23"/>
  </r>
  <r>
    <s v="UCF7K5uOzm-xqTb96lpNt_Ow"/>
    <s v="UCbmNph6atAoGfqLoCL_duAg"/>
    <m/>
    <m/>
    <m/>
    <m/>
    <m/>
    <m/>
    <m/>
    <m/>
    <s v="No"/>
    <n v="75"/>
    <m/>
    <m/>
    <s v="Commented Video"/>
    <x v="0"/>
    <s v="i can&amp;#39;t understand how they could not focus on the slides instead on the person."/>
    <s v="UCF7K5uOzm-xqTb96lpNt_Ow"/>
    <s v="Gregor Leban"/>
    <s v="http://www.youtube.com/channel/UCF7K5uOzm-xqTb96lpNt_Ow"/>
    <m/>
    <s v="ZYLWHRa8Et4"/>
    <s v="https://www.youtube.com/watch?v=ZYLWHRa8Et4"/>
    <s v="none"/>
    <n v="0"/>
    <x v="72"/>
    <d v="2011-08-19T09:00:09.000"/>
    <m/>
    <m/>
    <s v=""/>
    <n v="1"/>
    <s v="16"/>
    <s v="16"/>
    <n v="0"/>
    <n v="0"/>
    <n v="0"/>
    <n v="0"/>
    <n v="0"/>
    <n v="0"/>
    <n v="17"/>
    <n v="100"/>
    <n v="17"/>
  </r>
  <r>
    <s v="UCXQR00oQ3fj5cTotWvRg0_Q"/>
    <s v="UCbmNph6atAoGfqLoCL_duAg"/>
    <m/>
    <m/>
    <m/>
    <m/>
    <m/>
    <m/>
    <m/>
    <m/>
    <s v="No"/>
    <n v="76"/>
    <m/>
    <m/>
    <s v="Commented Video"/>
    <x v="0"/>
    <s v="Bummer that this is missing the slides!"/>
    <s v="UCXQR00oQ3fj5cTotWvRg0_Q"/>
    <s v="Danny Sheridan"/>
    <s v="http://www.youtube.com/channel/UCXQR00oQ3fj5cTotWvRg0_Q"/>
    <m/>
    <s v="ZYLWHRa8Et4"/>
    <s v="https://www.youtube.com/watch?v=ZYLWHRa8Et4"/>
    <s v="none"/>
    <n v="0"/>
    <x v="73"/>
    <d v="2020-10-04T06:20:53.000"/>
    <m/>
    <m/>
    <s v=""/>
    <n v="1"/>
    <s v="16"/>
    <s v="16"/>
    <n v="0"/>
    <n v="0"/>
    <n v="0"/>
    <n v="0"/>
    <n v="0"/>
    <n v="0"/>
    <n v="7"/>
    <n v="100"/>
    <n v="7"/>
  </r>
  <r>
    <s v="UCLwDXsPUfsO2ZTptCsSyXGg"/>
    <s v="UCVRsFyifrTrADDHncqwLghg"/>
    <m/>
    <m/>
    <m/>
    <m/>
    <m/>
    <m/>
    <m/>
    <m/>
    <s v="No"/>
    <n v="77"/>
    <m/>
    <m/>
    <s v="Commented Video"/>
    <x v="0"/>
    <s v="I like the loop!"/>
    <s v="UCLwDXsPUfsO2ZTptCsSyXGg"/>
    <s v="Kirk Richardson"/>
    <s v="http://www.youtube.com/channel/UCLwDXsPUfsO2ZTptCsSyXGg"/>
    <m/>
    <s v="1VVN0ZlxXmI"/>
    <s v="https://www.youtube.com/watch?v=1VVN0ZlxXmI"/>
    <s v="none"/>
    <n v="0"/>
    <x v="74"/>
    <d v="2017-01-27T22:37:14.000"/>
    <m/>
    <m/>
    <s v=""/>
    <n v="1"/>
    <s v="19"/>
    <s v="19"/>
    <n v="1"/>
    <n v="25"/>
    <n v="0"/>
    <n v="0"/>
    <n v="0"/>
    <n v="0"/>
    <n v="3"/>
    <n v="75"/>
    <n v="4"/>
  </r>
  <r>
    <s v="UCpQ5U05w9q913jvPV-T8rlw"/>
    <s v="UCerAw4EfTOnYYxLLPZAzMxQ"/>
    <m/>
    <m/>
    <m/>
    <m/>
    <m/>
    <m/>
    <m/>
    <m/>
    <s v="No"/>
    <n v="78"/>
    <m/>
    <m/>
    <s v="Commented Video"/>
    <x v="0"/>
    <s v="Thanks Mr Cook for you effort!!"/>
    <s v="UCpQ5U05w9q913jvPV-T8rlw"/>
    <s v="S.S V"/>
    <s v="http://www.youtube.com/channel/UCpQ5U05w9q913jvPV-T8rlw"/>
    <m/>
    <s v="lbb2lMCSg64"/>
    <s v="https://www.youtube.com/watch?v=lbb2lMCSg64"/>
    <s v="none"/>
    <n v="1"/>
    <x v="75"/>
    <d v="2016-03-05T14:19:23.000"/>
    <m/>
    <m/>
    <s v=""/>
    <n v="1"/>
    <s v="1"/>
    <s v="1"/>
    <n v="0"/>
    <n v="0"/>
    <n v="0"/>
    <n v="0"/>
    <n v="0"/>
    <n v="0"/>
    <n v="6"/>
    <n v="100"/>
    <n v="6"/>
  </r>
  <r>
    <s v="UCerAw4EfTOnYYxLLPZAzMxQ"/>
    <s v="UC8qUxVyfs-OHn8fApXBqjaQ"/>
    <m/>
    <m/>
    <m/>
    <m/>
    <m/>
    <m/>
    <m/>
    <m/>
    <s v="Yes"/>
    <n v="79"/>
    <m/>
    <m/>
    <s v="Replied Comment"/>
    <x v="1"/>
    <s v="Peter Aldhouse has some tips on labeling -- see here: &lt;a href=&quot;https://www.peteraldhous.com/CAR/NodeXL_CAR2012.pdf&quot;&gt;https://www.peteraldhous.com/CAR/NodeXL_CAR2012.pdf&lt;/a&gt;"/>
    <s v="UCerAw4EfTOnYYxLLPZAzMxQ"/>
    <s v="James Cook"/>
    <s v="http://www.youtube.com/channel/UCerAw4EfTOnYYxLLPZAzMxQ"/>
    <s v="UgxYLs8W-8yNkOdYPrV4AaABAg"/>
    <s v="lbb2lMCSg64"/>
    <s v="https://www.youtube.com/watch?v=lbb2lMCSg64"/>
    <s v="none"/>
    <n v="0"/>
    <x v="76"/>
    <d v="2021-05-27T13:48:15.000"/>
    <s v=" https://www.peteraldhous.com/CAR/NodeXL_CAR2012.pdf https://www.peteraldhous.com/CAR/NodeXL_CAR2012.pdf"/>
    <s v="peteraldhous.com peteraldhous.com"/>
    <s v=""/>
    <n v="1"/>
    <s v="1"/>
    <s v="1"/>
    <n v="0"/>
    <n v="0"/>
    <n v="0"/>
    <n v="0"/>
    <n v="0"/>
    <n v="0"/>
    <n v="26"/>
    <n v="100"/>
    <n v="26"/>
  </r>
  <r>
    <s v="UC8qUxVyfs-OHn8fApXBqjaQ"/>
    <s v="UCerAw4EfTOnYYxLLPZAzMxQ"/>
    <m/>
    <m/>
    <m/>
    <m/>
    <m/>
    <m/>
    <m/>
    <m/>
    <s v="Yes"/>
    <n v="80"/>
    <m/>
    <m/>
    <s v="Commented Video"/>
    <x v="0"/>
    <s v="sir how to use twitter image as vertices,my data always circle i cannot change it to label or image like in nodexl documentation"/>
    <s v="UC8qUxVyfs-OHn8fApXBqjaQ"/>
    <s v="DWI SETYO AJI"/>
    <s v="http://www.youtube.com/channel/UC8qUxVyfs-OHn8fApXBqjaQ"/>
    <m/>
    <s v="lbb2lMCSg64"/>
    <s v="https://www.youtube.com/watch?v=lbb2lMCSg64"/>
    <s v="none"/>
    <n v="0"/>
    <x v="77"/>
    <d v="2021-05-27T06:51:32.000"/>
    <m/>
    <m/>
    <s v=""/>
    <n v="1"/>
    <s v="1"/>
    <s v="1"/>
    <n v="1"/>
    <n v="4.166666666666667"/>
    <n v="0"/>
    <n v="0"/>
    <n v="0"/>
    <n v="0"/>
    <n v="23"/>
    <n v="95.83333333333333"/>
    <n v="24"/>
  </r>
  <r>
    <s v="UCerAw4EfTOnYYxLLPZAzMxQ"/>
    <s v="UCC6RgeCUyUrLDxO1W6Rat-Q"/>
    <m/>
    <m/>
    <m/>
    <m/>
    <m/>
    <m/>
    <m/>
    <m/>
    <s v="Yes"/>
    <n v="81"/>
    <m/>
    <m/>
    <s v="Replied Comment"/>
    <x v="1"/>
    <s v="+Maryam Zolnoori Unfortunately, not at this time, not unless you install a program on a Mac to run Microsoft Windows.  Microsoft Excel for Apple is based on a different programming language, which is why NodeXL won&amp;#39;t work on Apple machines."/>
    <s v="UCerAw4EfTOnYYxLLPZAzMxQ"/>
    <s v="James Cook"/>
    <s v="http://www.youtube.com/channel/UCerAw4EfTOnYYxLLPZAzMxQ"/>
    <s v="Ugh1guaSjMdvpXgCoAEC"/>
    <s v="1yCjhTuLA1o"/>
    <s v="https://www.youtube.com/watch?v=1yCjhTuLA1o"/>
    <s v="none"/>
    <n v="0"/>
    <x v="78"/>
    <d v="2015-09-14T02:04:20.000"/>
    <m/>
    <m/>
    <s v=""/>
    <n v="1"/>
    <s v="1"/>
    <s v="1"/>
    <n v="3"/>
    <n v="7.142857142857143"/>
    <n v="1"/>
    <n v="2.380952380952381"/>
    <n v="0"/>
    <n v="0"/>
    <n v="38"/>
    <n v="90.47619047619048"/>
    <n v="42"/>
  </r>
  <r>
    <s v="UCC6RgeCUyUrLDxO1W6Rat-Q"/>
    <s v="UCerAw4EfTOnYYxLLPZAzMxQ"/>
    <m/>
    <m/>
    <m/>
    <m/>
    <m/>
    <m/>
    <m/>
    <m/>
    <s v="Yes"/>
    <n v="82"/>
    <m/>
    <m/>
    <s v="Commented Video"/>
    <x v="0"/>
    <s v="Hello James:&lt;br&gt;Is it possible to install it on MAC?"/>
    <s v="UCC6RgeCUyUrLDxO1W6Rat-Q"/>
    <s v="Maryam Zolnoori"/>
    <s v="http://www.youtube.com/channel/UCC6RgeCUyUrLDxO1W6Rat-Q"/>
    <m/>
    <s v="1yCjhTuLA1o"/>
    <s v="https://www.youtube.com/watch?v=1yCjhTuLA1o"/>
    <s v="none"/>
    <n v="0"/>
    <x v="79"/>
    <d v="2015-03-19T22:42:24.000"/>
    <m/>
    <m/>
    <s v=""/>
    <n v="1"/>
    <s v="1"/>
    <s v="1"/>
    <n v="0"/>
    <n v="0"/>
    <n v="0"/>
    <n v="0"/>
    <n v="0"/>
    <n v="0"/>
    <n v="11"/>
    <n v="100"/>
    <n v="11"/>
  </r>
  <r>
    <s v="UCI8WWtGB9PmGhesq1QVChQg"/>
    <s v="UCUm577M0SQnlguRkdcfUa1Q"/>
    <m/>
    <m/>
    <m/>
    <m/>
    <m/>
    <m/>
    <m/>
    <m/>
    <s v="No"/>
    <n v="83"/>
    <m/>
    <m/>
    <s v="Replied Comment"/>
    <x v="1"/>
    <s v="+James Cook I also can&amp;#39;t open it on windows 10, maybe it works for you because you had it before?"/>
    <s v="UCI8WWtGB9PmGhesq1QVChQg"/>
    <s v="Juliana T."/>
    <s v="http://www.youtube.com/channel/UCI8WWtGB9PmGhesq1QVChQg"/>
    <s v="UgibY0BOAVLR33gCoAEC"/>
    <s v="1yCjhTuLA1o"/>
    <s v="https://www.youtube.com/watch?v="/>
    <s v="none"/>
    <n v="0"/>
    <x v="80"/>
    <d v="2015-11-14T13:25:17.000"/>
    <m/>
    <m/>
    <s v=""/>
    <n v="3"/>
    <s v="18"/>
    <s v="18"/>
    <n v="1"/>
    <n v="4.545454545454546"/>
    <n v="0"/>
    <n v="0"/>
    <n v="0"/>
    <n v="0"/>
    <n v="21"/>
    <n v="95.45454545454545"/>
    <n v="22"/>
  </r>
  <r>
    <s v="UCI8WWtGB9PmGhesq1QVChQg"/>
    <s v="UCUm577M0SQnlguRkdcfUa1Q"/>
    <m/>
    <m/>
    <m/>
    <m/>
    <m/>
    <m/>
    <m/>
    <m/>
    <s v="No"/>
    <n v="84"/>
    <m/>
    <m/>
    <s v="Replied Comment"/>
    <x v="1"/>
    <s v="@James Cook I can&amp;#39;t find it when I search for it in my computer, and when I try to download it again, it says that the latest version  of this customization is already installed."/>
    <s v="UCI8WWtGB9PmGhesq1QVChQg"/>
    <s v="Juliana T."/>
    <s v="http://www.youtube.com/channel/UCI8WWtGB9PmGhesq1QVChQg"/>
    <s v="UgibY0BOAVLR33gCoAEC"/>
    <s v="1yCjhTuLA1o"/>
    <s v="https://www.youtube.com/watch?v="/>
    <s v="none"/>
    <n v="0"/>
    <x v="81"/>
    <d v="2015-11-14T14:36:11.000"/>
    <m/>
    <m/>
    <s v=""/>
    <n v="3"/>
    <s v="18"/>
    <s v="18"/>
    <n v="0"/>
    <n v="0"/>
    <n v="0"/>
    <n v="0"/>
    <n v="0"/>
    <n v="0"/>
    <n v="36"/>
    <n v="100"/>
    <n v="36"/>
  </r>
  <r>
    <s v="UCI8WWtGB9PmGhesq1QVChQg"/>
    <s v="UCUm577M0SQnlguRkdcfUa1Q"/>
    <m/>
    <m/>
    <m/>
    <m/>
    <m/>
    <m/>
    <m/>
    <m/>
    <s v="No"/>
    <n v="85"/>
    <m/>
    <m/>
    <s v="Replied Comment"/>
    <x v="1"/>
    <s v="@James Cook Thank you so much!!! I found it in the start but tom :) "/>
    <s v="UCI8WWtGB9PmGhesq1QVChQg"/>
    <s v="Juliana T."/>
    <s v="http://www.youtube.com/channel/UCI8WWtGB9PmGhesq1QVChQg"/>
    <s v="UgibY0BOAVLR33gCoAEC"/>
    <s v="1yCjhTuLA1o"/>
    <s v="https://www.youtube.com/watch?v="/>
    <s v="none"/>
    <n v="0"/>
    <x v="82"/>
    <d v="2015-11-14T16:27:19.000"/>
    <m/>
    <m/>
    <s v=""/>
    <n v="3"/>
    <s v="18"/>
    <s v="18"/>
    <n v="1"/>
    <n v="7.142857142857143"/>
    <n v="0"/>
    <n v="0"/>
    <n v="0"/>
    <n v="0"/>
    <n v="13"/>
    <n v="92.85714285714286"/>
    <n v="14"/>
  </r>
  <r>
    <s v="UCerAw4EfTOnYYxLLPZAzMxQ"/>
    <s v="UCUm577M0SQnlguRkdcfUa1Q"/>
    <m/>
    <m/>
    <m/>
    <m/>
    <m/>
    <m/>
    <m/>
    <m/>
    <s v="Yes"/>
    <n v="86"/>
    <m/>
    <m/>
    <s v="Replied Comment"/>
    <x v="1"/>
    <s v="+Ciro Trejo Moya Hi! Thanks for writing.  I updated to Windows 10, and NodeXL has worked for me there, so the signs are good."/>
    <s v="UCerAw4EfTOnYYxLLPZAzMxQ"/>
    <s v="James Cook"/>
    <s v="http://www.youtube.com/channel/UCerAw4EfTOnYYxLLPZAzMxQ"/>
    <s v="UgibY0BOAVLR33gCoAEC"/>
    <s v="1yCjhTuLA1o"/>
    <s v="https://www.youtube.com/watch?v="/>
    <s v="none"/>
    <n v="0"/>
    <x v="83"/>
    <d v="2015-10-11T03:29:51.000"/>
    <m/>
    <m/>
    <s v=""/>
    <n v="4"/>
    <s v="1"/>
    <s v="18"/>
    <n v="2"/>
    <n v="8.333333333333334"/>
    <n v="0"/>
    <n v="0"/>
    <n v="0"/>
    <n v="0"/>
    <n v="22"/>
    <n v="91.66666666666667"/>
    <n v="24"/>
  </r>
  <r>
    <s v="UCerAw4EfTOnYYxLLPZAzMxQ"/>
    <s v="UCUm577M0SQnlguRkdcfUa1Q"/>
    <m/>
    <m/>
    <m/>
    <m/>
    <m/>
    <m/>
    <m/>
    <m/>
    <s v="Yes"/>
    <n v="87"/>
    <m/>
    <m/>
    <s v="Replied Comment"/>
    <x v="1"/>
    <s v="+Juliana De Souza Treder Let&amp;#39;s troubleshoot!  When you say you can&amp;#39;t open it, does that mean you A) can&amp;#39;t find it, B) can&amp;#39;t start NodeXL once you find it, or C) can&amp;#39;t use NodeXL properly once you start it up?"/>
    <s v="UCerAw4EfTOnYYxLLPZAzMxQ"/>
    <s v="James Cook"/>
    <s v="http://www.youtube.com/channel/UCerAw4EfTOnYYxLLPZAzMxQ"/>
    <s v="UgibY0BOAVLR33gCoAEC"/>
    <s v="1yCjhTuLA1o"/>
    <s v="https://www.youtube.com/watch?v="/>
    <s v="none"/>
    <n v="0"/>
    <x v="84"/>
    <d v="2015-11-14T13:52:39.000"/>
    <m/>
    <m/>
    <s v=""/>
    <n v="4"/>
    <s v="1"/>
    <s v="18"/>
    <n v="1"/>
    <n v="2"/>
    <n v="0"/>
    <n v="0"/>
    <n v="0"/>
    <n v="0"/>
    <n v="49"/>
    <n v="98"/>
    <n v="50"/>
  </r>
  <r>
    <s v="UCerAw4EfTOnYYxLLPZAzMxQ"/>
    <s v="UCUm577M0SQnlguRkdcfUa1Q"/>
    <m/>
    <m/>
    <m/>
    <m/>
    <m/>
    <m/>
    <m/>
    <m/>
    <s v="Yes"/>
    <n v="88"/>
    <m/>
    <m/>
    <s v="Replied Comment"/>
    <x v="1"/>
    <s v="+Juliana De Souza Treder Good to know.  I had a bit of trouble with this too, on Windows 10 in particular, and the NodeXL folks should fix that bug.  Here&amp;#39;s a trick to try to get around it.  Go to the NodeXL Gallery and pick any example graph -- like &lt;a href=&quot;http://www.nodexlgraphgallery.org/Pages/Graph.aspx?graphID=57173&quot;&gt;http://www.nodexlgraphgallery.org/Pages/Graph.aspx?graphID=57173&lt;/a&gt; for example.  Go all the way to the bottom of the page and find the Download the Graph Data as a NodeXL Workbook option.  Download a workbook and save it on your desktop.  Then open the workbook and you will start NodeXL.  Take out all the network data that&amp;#39;s there and save it as a blank network, and you have a good starting place now for all your NodeXL work.  Note: you may get a pop-up message that declares that you can&amp;#39;t open the workbook fully because downloaded from somewhere else and is not in a &amp;quot;trusted location.&amp;quot;  Save it to one of your trusted folders (the Desktop is a handy place usually) and re-open the workbook and you should be OK.  Does this help?"/>
    <s v="UCerAw4EfTOnYYxLLPZAzMxQ"/>
    <s v="James Cook"/>
    <s v="http://www.youtube.com/channel/UCerAw4EfTOnYYxLLPZAzMxQ"/>
    <s v="UgibY0BOAVLR33gCoAEC"/>
    <s v="1yCjhTuLA1o"/>
    <s v="https://www.youtube.com/watch?v="/>
    <s v="none"/>
    <n v="0"/>
    <x v="85"/>
    <d v="2015-11-14T14:56:52.000"/>
    <s v=" http://www.nodexlgraphgallery.org/Pages/Graph.aspx?graphID=57173 http://www.nodexlgraphgallery.org/Pages/Graph.aspx?graphID=57173"/>
    <s v="nodexlgraphgallery.org nodexlgraphgallery.org"/>
    <s v=""/>
    <n v="4"/>
    <s v="1"/>
    <s v="18"/>
    <n v="7"/>
    <n v="3.4146341463414633"/>
    <n v="3"/>
    <n v="1.4634146341463414"/>
    <n v="0"/>
    <n v="0"/>
    <n v="195"/>
    <n v="95.1219512195122"/>
    <n v="205"/>
  </r>
  <r>
    <s v="UCerAw4EfTOnYYxLLPZAzMxQ"/>
    <s v="UCUm577M0SQnlguRkdcfUa1Q"/>
    <m/>
    <m/>
    <m/>
    <m/>
    <m/>
    <m/>
    <m/>
    <m/>
    <s v="Yes"/>
    <n v="89"/>
    <m/>
    <m/>
    <s v="Replied Comment"/>
    <x v="1"/>
    <s v="+Juliana De Souza Treder Easier solution I just found.  Click the Start button in Windows 10, then click &amp;quot;All Apps.&amp;quot;  NodeXL should appear there in your list."/>
    <s v="UCerAw4EfTOnYYxLLPZAzMxQ"/>
    <s v="James Cook"/>
    <s v="http://www.youtube.com/channel/UCerAw4EfTOnYYxLLPZAzMxQ"/>
    <s v="UgibY0BOAVLR33gCoAEC"/>
    <s v="1yCjhTuLA1o"/>
    <s v="https://www.youtube.com/watch?v="/>
    <s v="none"/>
    <n v="0"/>
    <x v="86"/>
    <d v="2015-11-14T15:15:08.000"/>
    <m/>
    <m/>
    <s v=""/>
    <n v="4"/>
    <s v="1"/>
    <s v="18"/>
    <n v="1"/>
    <n v="3.4482758620689653"/>
    <n v="0"/>
    <n v="0"/>
    <n v="0"/>
    <n v="0"/>
    <n v="28"/>
    <n v="96.55172413793103"/>
    <n v="29"/>
  </r>
  <r>
    <s v="UCUm577M0SQnlguRkdcfUa1Q"/>
    <s v="UCerAw4EfTOnYYxLLPZAzMxQ"/>
    <m/>
    <m/>
    <m/>
    <m/>
    <m/>
    <m/>
    <m/>
    <m/>
    <s v="Yes"/>
    <n v="90"/>
    <m/>
    <m/>
    <s v="Commented Video"/>
    <x v="0"/>
    <s v="Hello James, I am running Windows 10 by the time, do you have any idea if NodeXL is working on this operating system already?"/>
    <s v="UCUm577M0SQnlguRkdcfUa1Q"/>
    <s v="Ciro Trejo Moya"/>
    <s v="http://www.youtube.com/channel/UCUm577M0SQnlguRkdcfUa1Q"/>
    <m/>
    <s v="1yCjhTuLA1o"/>
    <s v="https://www.youtube.com/watch?v=1yCjhTuLA1o"/>
    <s v="none"/>
    <n v="0"/>
    <x v="87"/>
    <d v="2015-10-11T01:47:36.000"/>
    <m/>
    <m/>
    <s v=""/>
    <n v="1"/>
    <s v="18"/>
    <s v="1"/>
    <n v="0"/>
    <n v="0"/>
    <n v="0"/>
    <n v="0"/>
    <n v="0"/>
    <n v="0"/>
    <n v="24"/>
    <n v="100"/>
    <n v="24"/>
  </r>
  <r>
    <s v="UCHBzTw6zFU-YYZ9ohpX9lKQ"/>
    <s v="UCerAw4EfTOnYYxLLPZAzMxQ"/>
    <m/>
    <m/>
    <m/>
    <m/>
    <m/>
    <m/>
    <m/>
    <m/>
    <s v="No"/>
    <n v="91"/>
    <m/>
    <m/>
    <s v="Commented Video"/>
    <x v="0"/>
    <s v="Hello James, I have problem installing NodeXL in my window 8.1 Enterprise. Could you please advice? Thanks"/>
    <s v="UCHBzTw6zFU-YYZ9ohpX9lKQ"/>
    <s v="Digital Bradford"/>
    <s v="http://www.youtube.com/channel/UCHBzTw6zFU-YYZ9ohpX9lKQ"/>
    <m/>
    <s v="1yCjhTuLA1o"/>
    <s v="https://www.youtube.com/watch?v=1yCjhTuLA1o"/>
    <s v="none"/>
    <n v="0"/>
    <x v="88"/>
    <d v="2016-12-06T01:12:01.000"/>
    <m/>
    <m/>
    <s v=""/>
    <n v="1"/>
    <s v="1"/>
    <s v="1"/>
    <n v="0"/>
    <n v="0"/>
    <n v="1"/>
    <n v="5.555555555555555"/>
    <n v="0"/>
    <n v="0"/>
    <n v="17"/>
    <n v="94.44444444444444"/>
    <n v="18"/>
  </r>
  <r>
    <s v="UCoLCzvtVkU29FpAVVsAK-wg"/>
    <s v="UCerAw4EfTOnYYxLLPZAzMxQ"/>
    <m/>
    <m/>
    <m/>
    <m/>
    <m/>
    <m/>
    <m/>
    <m/>
    <s v="No"/>
    <n v="92"/>
    <m/>
    <m/>
    <s v="Commented Video"/>
    <x v="0"/>
    <s v="in practice, i have so many problems with this software. it doesnt work."/>
    <s v="UCoLCzvtVkU29FpAVVsAK-wg"/>
    <s v="shahilagh"/>
    <s v="http://www.youtube.com/channel/UCoLCzvtVkU29FpAVVsAK-wg"/>
    <m/>
    <s v="AyMwPYpmYng"/>
    <s v="https://www.youtube.com/watch?v=AyMwPYpmYng"/>
    <s v="none"/>
    <n v="0"/>
    <x v="89"/>
    <d v="2016-05-10T20:17:16.000"/>
    <m/>
    <m/>
    <s v=""/>
    <n v="1"/>
    <s v="1"/>
    <s v="1"/>
    <n v="1"/>
    <n v="7.6923076923076925"/>
    <n v="1"/>
    <n v="7.6923076923076925"/>
    <n v="0"/>
    <n v="0"/>
    <n v="11"/>
    <n v="84.61538461538461"/>
    <n v="13"/>
  </r>
  <r>
    <s v="UC52SPb7BsvpH0HWbkSk8Jdg"/>
    <s v="UCerAw4EfTOnYYxLLPZAzMxQ"/>
    <m/>
    <m/>
    <m/>
    <m/>
    <m/>
    <m/>
    <m/>
    <m/>
    <s v="No"/>
    <n v="93"/>
    <m/>
    <m/>
    <s v="Commented Video"/>
    <x v="0"/>
    <s v="works for spanish?"/>
    <s v="UC52SPb7BsvpH0HWbkSk8Jdg"/>
    <s v="Jose Tijerino"/>
    <s v="http://www.youtube.com/channel/UC52SPb7BsvpH0HWbkSk8Jdg"/>
    <m/>
    <s v="AyMwPYpmYng"/>
    <s v="https://www.youtube.com/watch?v=AyMwPYpmYng"/>
    <s v="none"/>
    <n v="0"/>
    <x v="90"/>
    <d v="2017-05-25T21:10:50.000"/>
    <m/>
    <m/>
    <s v=""/>
    <n v="1"/>
    <s v="1"/>
    <s v="1"/>
    <n v="1"/>
    <n v="33.333333333333336"/>
    <n v="0"/>
    <n v="0"/>
    <n v="0"/>
    <n v="0"/>
    <n v="2"/>
    <n v="66.66666666666667"/>
    <n v="3"/>
  </r>
  <r>
    <s v="UCbldxxrB86AYD-2LJsgqpOA"/>
    <s v="UCerAw4EfTOnYYxLLPZAzMxQ"/>
    <m/>
    <m/>
    <m/>
    <m/>
    <m/>
    <m/>
    <m/>
    <m/>
    <s v="No"/>
    <n v="94"/>
    <m/>
    <m/>
    <s v="Commented Video"/>
    <x v="0"/>
    <s v="Thank you so much for the explanation. I learned a lot! Hope to advance in this program and text mining in general. I wish I can study this topic as part of a PhD program!"/>
    <s v="UCbldxxrB86AYD-2LJsgqpOA"/>
    <s v="Mustafa POLAT"/>
    <s v="http://www.youtube.com/channel/UCbldxxrB86AYD-2LJsgqpOA"/>
    <m/>
    <s v="AyMwPYpmYng"/>
    <s v="https://www.youtube.com/watch?v=AyMwPYpmYng"/>
    <s v="none"/>
    <n v="0"/>
    <x v="91"/>
    <d v="2018-02-01T14:23:38.000"/>
    <m/>
    <m/>
    <s v=""/>
    <n v="1"/>
    <s v="1"/>
    <s v="1"/>
    <n v="1"/>
    <n v="2.857142857142857"/>
    <n v="0"/>
    <n v="0"/>
    <n v="0"/>
    <n v="0"/>
    <n v="34"/>
    <n v="97.14285714285714"/>
    <n v="35"/>
  </r>
  <r>
    <s v="UC0qJaSE8JW7BoCYedij1fPg"/>
    <s v="UCif9JdoLvBtApiSu94tWjPg"/>
    <m/>
    <m/>
    <m/>
    <m/>
    <m/>
    <m/>
    <m/>
    <m/>
    <s v="No"/>
    <n v="95"/>
    <m/>
    <m/>
    <s v="Commented Video"/>
    <x v="0"/>
    <s v="Hey, I tried Node Excel for Office 13 with Window 8 and I worked for me."/>
    <s v="UC0qJaSE8JW7BoCYedij1fPg"/>
    <s v="Growing World"/>
    <s v="http://www.youtube.com/channel/UC0qJaSE8JW7BoCYedij1fPg"/>
    <m/>
    <s v="tzkLBf9t7MY"/>
    <s v="https://www.youtube.com/watch?v=tzkLBf9t7MY"/>
    <s v="none"/>
    <n v="0"/>
    <x v="92"/>
    <d v="2015-04-02T13:09:45.000"/>
    <m/>
    <m/>
    <s v=""/>
    <n v="1"/>
    <s v="10"/>
    <s v="10"/>
    <n v="2"/>
    <n v="12.5"/>
    <n v="0"/>
    <n v="0"/>
    <n v="0"/>
    <n v="0"/>
    <n v="14"/>
    <n v="87.5"/>
    <n v="16"/>
  </r>
  <r>
    <s v="UCXFOCi3E8fm4KWk7KA1v-FA"/>
    <s v="UCif9JdoLvBtApiSu94tWjPg"/>
    <m/>
    <m/>
    <m/>
    <m/>
    <m/>
    <m/>
    <m/>
    <m/>
    <s v="No"/>
    <n v="96"/>
    <m/>
    <m/>
    <s v="Commented Video"/>
    <x v="0"/>
    <s v="Please kindly share the process. it didn&amp;#39;t work for me"/>
    <s v="UCXFOCi3E8fm4KWk7KA1v-FA"/>
    <s v="JOSEPH FAYESE"/>
    <s v="http://www.youtube.com/channel/UCXFOCi3E8fm4KWk7KA1v-FA"/>
    <m/>
    <s v="tzkLBf9t7MY"/>
    <s v="https://www.youtube.com/watch?v=tzkLBf9t7MY"/>
    <s v="none"/>
    <n v="0"/>
    <x v="93"/>
    <d v="2016-06-21T14:16:05.000"/>
    <m/>
    <m/>
    <s v=""/>
    <n v="1"/>
    <s v="10"/>
    <s v="10"/>
    <n v="2"/>
    <n v="16.666666666666668"/>
    <n v="0"/>
    <n v="0"/>
    <n v="0"/>
    <n v="0"/>
    <n v="10"/>
    <n v="83.33333333333333"/>
    <n v="12"/>
  </r>
  <r>
    <s v="UCywWdXzN6JZzrDM3WWtIcdA"/>
    <s v="UCif9JdoLvBtApiSu94tWjPg"/>
    <m/>
    <m/>
    <m/>
    <m/>
    <m/>
    <m/>
    <m/>
    <m/>
    <s v="No"/>
    <n v="97"/>
    <m/>
    <m/>
    <s v="Commented Video"/>
    <x v="0"/>
    <s v="audio on the video is so quiet I can hardly hear it with my laptop speakers on maximum."/>
    <s v="UCywWdXzN6JZzrDM3WWtIcdA"/>
    <s v="kester ratcliff"/>
    <s v="http://www.youtube.com/channel/UCywWdXzN6JZzrDM3WWtIcdA"/>
    <m/>
    <s v="tzkLBf9t7MY"/>
    <s v="https://www.youtube.com/watch?v=tzkLBf9t7MY"/>
    <s v="none"/>
    <n v="0"/>
    <x v="94"/>
    <d v="2017-06-19T14:41:05.000"/>
    <m/>
    <m/>
    <s v=""/>
    <n v="1"/>
    <s v="10"/>
    <s v="10"/>
    <n v="1"/>
    <n v="5.555555555555555"/>
    <n v="0"/>
    <n v="0"/>
    <n v="0"/>
    <n v="0"/>
    <n v="17"/>
    <n v="94.44444444444444"/>
    <n v="18"/>
  </r>
  <r>
    <s v="UCIz82_qILaDCMBLYsqErOOw"/>
    <s v="UCif9JdoLvBtApiSu94tWjPg"/>
    <m/>
    <m/>
    <m/>
    <m/>
    <m/>
    <m/>
    <m/>
    <m/>
    <s v="No"/>
    <n v="98"/>
    <m/>
    <m/>
    <s v="Commented Video"/>
    <x v="0"/>
    <s v="I cant install it, only .exe file is available on the link. can u pls upload it into ur google drive &amp;amp; share to me?"/>
    <s v="UCIz82_qILaDCMBLYsqErOOw"/>
    <s v="Digonto Sky"/>
    <s v="http://www.youtube.com/channel/UCIz82_qILaDCMBLYsqErOOw"/>
    <m/>
    <s v="tzkLBf9t7MY"/>
    <s v="https://www.youtube.com/watch?v=tzkLBf9t7MY"/>
    <s v="none"/>
    <n v="0"/>
    <x v="95"/>
    <d v="2017-11-22T04:48:31.000"/>
    <m/>
    <m/>
    <s v=""/>
    <n v="1"/>
    <s v="10"/>
    <s v="10"/>
    <n v="1"/>
    <n v="4"/>
    <n v="0"/>
    <n v="0"/>
    <n v="0"/>
    <n v="0"/>
    <n v="24"/>
    <n v="96"/>
    <n v="25"/>
  </r>
  <r>
    <s v="UC1G7AZFqSOf2CIZBzfBNmVQ"/>
    <s v="UCif9JdoLvBtApiSu94tWjPg"/>
    <m/>
    <m/>
    <m/>
    <m/>
    <m/>
    <m/>
    <m/>
    <m/>
    <s v="No"/>
    <n v="99"/>
    <m/>
    <m/>
    <s v="Commented Video"/>
    <x v="0"/>
    <s v="Dear Piyush, when I tried to visit the page &lt;a href=&quot;https://nodexl.codeplex.com/&quot;&gt;https://nodexl.codeplex.com&lt;/a&gt; to download it open with &lt;a href=&quot;https://archive.codeplex.com/?p=nodexl&quot;&gt;https://archive.codeplex.com/?p=nodexl&lt;/a&gt; and only allow me to download Nodexl archive.  what to do now. I could have shared the screenshot but here it&amp;#39;s not possible. Kindly help me"/>
    <s v="UC1G7AZFqSOf2CIZBzfBNmVQ"/>
    <s v="Neeraj Pandey"/>
    <s v="http://www.youtube.com/channel/UC1G7AZFqSOf2CIZBzfBNmVQ"/>
    <m/>
    <s v="tzkLBf9t7MY"/>
    <s v="https://www.youtube.com/watch?v=tzkLBf9t7MY"/>
    <s v="none"/>
    <n v="0"/>
    <x v="96"/>
    <d v="2018-07-08T22:21:53.000"/>
    <s v=" https://nodexl.codeplex.com/ https://nodexl.codeplex.com https://archive.codeplex.com/?p=nodexl https://archive.codeplex.com/?p=nodexl"/>
    <s v="codeplex.com codeplex.com codeplex.com codeplex.com"/>
    <s v=""/>
    <n v="1"/>
    <s v="10"/>
    <s v="10"/>
    <n v="1"/>
    <n v="1.4705882352941178"/>
    <n v="0"/>
    <n v="0"/>
    <n v="0"/>
    <n v="0"/>
    <n v="67"/>
    <n v="98.52941176470588"/>
    <n v="68"/>
  </r>
  <r>
    <s v="UChA9cIhy_R5-REFhn28MQOw"/>
    <s v="UCif9JdoLvBtApiSu94tWjPg"/>
    <m/>
    <m/>
    <m/>
    <m/>
    <m/>
    <m/>
    <m/>
    <m/>
    <s v="No"/>
    <n v="100"/>
    <m/>
    <m/>
    <s v="Commented Video"/>
    <x v="0"/>
    <s v="How did you get the NodeXL tab to show up? You did something there but did not say. I don&amp;#39;t see that tab after installing and running the software."/>
    <s v="UChA9cIhy_R5-REFhn28MQOw"/>
    <s v="Melanie Espino"/>
    <s v="http://www.youtube.com/channel/UChA9cIhy_R5-REFhn28MQOw"/>
    <m/>
    <s v="tzkLBf9t7MY"/>
    <s v="https://www.youtube.com/watch?v=tzkLBf9t7MY"/>
    <s v="none"/>
    <n v="0"/>
    <x v="97"/>
    <d v="2019-07-30T00:01:07.000"/>
    <m/>
    <m/>
    <s v=""/>
    <n v="1"/>
    <s v="10"/>
    <s v="10"/>
    <n v="0"/>
    <n v="0"/>
    <n v="0"/>
    <n v="0"/>
    <n v="0"/>
    <n v="0"/>
    <n v="31"/>
    <n v="100"/>
    <n v="31"/>
  </r>
  <r>
    <s v="UCWmEXXyyg4CeL3TS4ba8iUg"/>
    <s v="UCfpw3xq_g1xpdwlyq11atZQ"/>
    <m/>
    <m/>
    <m/>
    <m/>
    <m/>
    <m/>
    <m/>
    <m/>
    <s v="No"/>
    <n v="101"/>
    <m/>
    <m/>
    <s v="Commented Video"/>
    <x v="0"/>
    <s v="Very Cool. Thank you for this tutorial!!"/>
    <s v="UCWmEXXyyg4CeL3TS4ba8iUg"/>
    <s v="habitMi"/>
    <s v="http://www.youtube.com/channel/UCWmEXXyyg4CeL3TS4ba8iUg"/>
    <m/>
    <s v="zMlwGOki4Yg"/>
    <s v="https://www.youtube.com/watch?v=zMlwGOki4Yg"/>
    <s v="none"/>
    <n v="0"/>
    <x v="98"/>
    <d v="2015-10-20T05:35:04.000"/>
    <m/>
    <m/>
    <s v=""/>
    <n v="1"/>
    <s v="3"/>
    <s v="3"/>
    <n v="2"/>
    <n v="28.571428571428573"/>
    <n v="0"/>
    <n v="0"/>
    <n v="0"/>
    <n v="0"/>
    <n v="5"/>
    <n v="71.42857142857143"/>
    <n v="7"/>
  </r>
  <r>
    <s v="UChlTB5NW6iUzi67TzRxRcTg"/>
    <s v="UCfpw3xq_g1xpdwlyq11atZQ"/>
    <m/>
    <m/>
    <m/>
    <m/>
    <m/>
    <m/>
    <m/>
    <m/>
    <s v="No"/>
    <n v="102"/>
    <m/>
    <m/>
    <s v="Commented Video"/>
    <x v="0"/>
    <s v="Great tutorial. Thanks Brian!"/>
    <s v="UChlTB5NW6iUzi67TzRxRcTg"/>
    <s v="Kaliisa Rogers"/>
    <s v="http://www.youtube.com/channel/UChlTB5NW6iUzi67TzRxRcTg"/>
    <m/>
    <s v="zMlwGOki4Yg"/>
    <s v="https://www.youtube.com/watch?v=zMlwGOki4Yg"/>
    <s v="none"/>
    <n v="0"/>
    <x v="99"/>
    <d v="2019-03-14T15:29:23.000"/>
    <m/>
    <m/>
    <s v=""/>
    <n v="1"/>
    <s v="3"/>
    <s v="3"/>
    <n v="1"/>
    <n v="25"/>
    <n v="0"/>
    <n v="0"/>
    <n v="0"/>
    <n v="0"/>
    <n v="3"/>
    <n v="75"/>
    <n v="4"/>
  </r>
  <r>
    <s v="UCEkBJ8bqPbMoZwqFrKmPqSA"/>
    <s v="UCfpw3xq_g1xpdwlyq11atZQ"/>
    <m/>
    <m/>
    <m/>
    <m/>
    <m/>
    <m/>
    <m/>
    <m/>
    <s v="No"/>
    <n v="103"/>
    <m/>
    <m/>
    <s v="Commented Video"/>
    <x v="0"/>
    <s v="Thank you!! It helped a lot for my PhD!!"/>
    <s v="UCEkBJ8bqPbMoZwqFrKmPqSA"/>
    <s v="Ana Paula Teixeira"/>
    <s v="http://www.youtube.com/channel/UCEkBJ8bqPbMoZwqFrKmPqSA"/>
    <m/>
    <s v="zMlwGOki4Yg"/>
    <s v="https://www.youtube.com/watch?v=zMlwGOki4Yg"/>
    <s v="none"/>
    <n v="0"/>
    <x v="100"/>
    <d v="2022-01-14T16:16:28.000"/>
    <m/>
    <m/>
    <s v=""/>
    <n v="1"/>
    <s v="3"/>
    <s v="3"/>
    <n v="2"/>
    <n v="22.22222222222222"/>
    <n v="0"/>
    <n v="0"/>
    <n v="0"/>
    <n v="0"/>
    <n v="7"/>
    <n v="77.77777777777777"/>
    <n v="9"/>
  </r>
  <r>
    <s v="UCVoF08vw5_TGZoAo2JKf0MA"/>
    <s v="UCVJfW61X3yS0PH-25gIjpNA"/>
    <m/>
    <m/>
    <m/>
    <m/>
    <m/>
    <m/>
    <m/>
    <m/>
    <s v="No"/>
    <n v="104"/>
    <m/>
    <m/>
    <s v="Replied Comment"/>
    <x v="1"/>
    <s v="Merhaba, şu an ben de aynı konu üzerinde bitirme çalışması yapıyorum. Acaba siz nasıl yaptınız, videodaki programı mı kullandınız, biraz bilgi verebilir misiniz rica etsem ?"/>
    <s v="UCVoF08vw5_TGZoAo2JKf0MA"/>
    <s v="Sümeyra Yılmaz"/>
    <s v="http://www.youtube.com/channel/UCVoF08vw5_TGZoAo2JKf0MA"/>
    <s v="UgxyM85EsIWIsu2e85J4AaABAg"/>
    <s v="GYSgH1g_YQI"/>
    <s v="https://www.youtube.com/watch?v=GYSgH1g_YQI"/>
    <s v="none"/>
    <n v="0"/>
    <x v="101"/>
    <d v="2019-11-30T15:44:04.000"/>
    <m/>
    <m/>
    <s v=""/>
    <n v="1"/>
    <s v="5"/>
    <s v="5"/>
    <n v="0"/>
    <n v="0"/>
    <n v="0"/>
    <n v="0"/>
    <n v="0"/>
    <n v="0"/>
    <n v="25"/>
    <n v="100"/>
    <n v="25"/>
  </r>
  <r>
    <s v="UCVJfW61X3yS0PH-25gIjpNA"/>
    <s v="UCcyRyUvk-VLYGh8srnf9E2Q"/>
    <m/>
    <m/>
    <m/>
    <m/>
    <m/>
    <m/>
    <m/>
    <m/>
    <s v="No"/>
    <n v="105"/>
    <m/>
    <m/>
    <s v="Commented Video"/>
    <x v="0"/>
    <s v="Gerçekten çok teşekkürler yararlı video olmuş .Bitirme projem twitter verileri ile duygu analizi  faydalı oldu.."/>
    <s v="UCVJfW61X3yS0PH-25gIjpNA"/>
    <s v="sumeyye aktepe"/>
    <s v="http://www.youtube.com/channel/UCVJfW61X3yS0PH-25gIjpNA"/>
    <m/>
    <s v="GYSgH1g_YQI"/>
    <s v="https://www.youtube.com/watch?v=GYSgH1g_YQI"/>
    <s v="none"/>
    <n v="1"/>
    <x v="102"/>
    <d v="2017-11-02T20:50:30.000"/>
    <m/>
    <m/>
    <s v=""/>
    <n v="1"/>
    <s v="5"/>
    <s v="5"/>
    <n v="0"/>
    <n v="0"/>
    <n v="0"/>
    <n v="0"/>
    <n v="0"/>
    <n v="0"/>
    <n v="15"/>
    <n v="100"/>
    <n v="15"/>
  </r>
  <r>
    <s v="UC3ZPFGJ9YYuozcr4cSnBJ2A"/>
    <s v="UCcyRyUvk-VLYGh8srnf9E2Q"/>
    <m/>
    <m/>
    <m/>
    <m/>
    <m/>
    <m/>
    <m/>
    <m/>
    <s v="No"/>
    <n v="106"/>
    <m/>
    <m/>
    <s v="Commented Video"/>
    <x v="0"/>
    <s v="Hocam çok güzel olmuş. Elinize sağlık."/>
    <s v="UC3ZPFGJ9YYuozcr4cSnBJ2A"/>
    <s v="Buracademy"/>
    <s v="http://www.youtube.com/channel/UC3ZPFGJ9YYuozcr4cSnBJ2A"/>
    <m/>
    <s v="GYSgH1g_YQI"/>
    <s v="https://www.youtube.com/watch?v=GYSgH1g_YQI"/>
    <s v="none"/>
    <n v="0"/>
    <x v="103"/>
    <d v="2018-01-25T19:10:09.000"/>
    <m/>
    <m/>
    <s v=""/>
    <n v="1"/>
    <s v="5"/>
    <s v="5"/>
    <n v="0"/>
    <n v="0"/>
    <n v="0"/>
    <n v="0"/>
    <n v="0"/>
    <n v="0"/>
    <n v="6"/>
    <n v="100"/>
    <n v="6"/>
  </r>
  <r>
    <s v="UCgHRnRM04bqxuFsbmaogYoQ"/>
    <s v="UCk1fFx94xROs0rc-0X9B5xQ"/>
    <m/>
    <m/>
    <m/>
    <m/>
    <m/>
    <m/>
    <m/>
    <m/>
    <s v="No"/>
    <n v="107"/>
    <m/>
    <m/>
    <s v="Replied Comment"/>
    <x v="1"/>
    <s v="@sümeyye çelik aynı hatayı bende yaşıyorum nasıl çözebilirim?"/>
    <s v="UCgHRnRM04bqxuFsbmaogYoQ"/>
    <s v="ünzile yeşil"/>
    <s v="http://www.youtube.com/channel/UCgHRnRM04bqxuFsbmaogYoQ"/>
    <s v="UgzW5mmanrSbF70cVX54AaABAg"/>
    <s v="GYSgH1g_YQI"/>
    <s v="https://www.youtube.com/watch?v=GYSgH1g_YQI"/>
    <s v="none"/>
    <n v="0"/>
    <x v="104"/>
    <d v="2019-01-03T20:43:22.000"/>
    <m/>
    <m/>
    <s v=""/>
    <n v="1"/>
    <s v="5"/>
    <s v="5"/>
    <n v="0"/>
    <n v="0"/>
    <n v="0"/>
    <n v="0"/>
    <n v="0"/>
    <n v="0"/>
    <n v="8"/>
    <n v="100"/>
    <n v="8"/>
  </r>
  <r>
    <s v="UCNqum2PJcIKJNqgdpJT_BAQ"/>
    <s v="UCk1fFx94xROs0rc-0X9B5xQ"/>
    <m/>
    <m/>
    <m/>
    <m/>
    <m/>
    <m/>
    <m/>
    <m/>
    <s v="No"/>
    <n v="108"/>
    <m/>
    <m/>
    <s v="Replied Comment"/>
    <x v="1"/>
    <s v="@ünzile yeşil &lt;a href=&quot;https://www.nodexlgraphgallery.org/Pages/Registration.aspx&quot;&gt;https://www.nodexlgraphgallery.org/Pages/Registration.aspx&lt;/a&gt; surdan indirebilirsiniz."/>
    <s v="UCNqum2PJcIKJNqgdpJT_BAQ"/>
    <s v="Erkan"/>
    <s v="http://www.youtube.com/channel/UCNqum2PJcIKJNqgdpJT_BAQ"/>
    <s v="UgzW5mmanrSbF70cVX54AaABAg"/>
    <s v="GYSgH1g_YQI"/>
    <s v="https://www.youtube.com/watch?v=GYSgH1g_YQI"/>
    <s v="none"/>
    <n v="0"/>
    <x v="105"/>
    <d v="2020-04-24T13:33:06.000"/>
    <s v=" https://www.nodexlgraphgallery.org/Pages/Registration.aspx https://www.nodexlgraphgallery.org/Pages/Registration.aspx"/>
    <s v="nodexlgraphgallery.org nodexlgraphgallery.org"/>
    <s v=""/>
    <n v="1"/>
    <s v="5"/>
    <s v="5"/>
    <n v="0"/>
    <n v="0"/>
    <n v="0"/>
    <n v="0"/>
    <n v="0"/>
    <n v="0"/>
    <n v="21"/>
    <n v="100"/>
    <n v="21"/>
  </r>
  <r>
    <s v="UCk1fFx94xROs0rc-0X9B5xQ"/>
    <s v="UCk1fFx94xROs0rc-0X9B5xQ"/>
    <m/>
    <m/>
    <m/>
    <m/>
    <m/>
    <m/>
    <m/>
    <m/>
    <s v="No"/>
    <n v="109"/>
    <m/>
    <m/>
    <s v="Replied Comment"/>
    <x v="1"/>
    <s v="kurulumunu bir bir şekilde gerçekleştirdim fakat şimdide twitter hesap erişimi kısmı pasif geliyor seçemiyrum. ayrıca aramada yapmıyor. ygulama yan yana yapılandırması doğru olmadığından başlatılamadı hatası vereyir neden olabilir cevap verirseniz sevinirim."/>
    <s v="UCk1fFx94xROs0rc-0X9B5xQ"/>
    <s v="sümeyye çelik"/>
    <s v="http://www.youtube.com/channel/UCk1fFx94xROs0rc-0X9B5xQ"/>
    <s v="UgzW5mmanrSbF70cVX54AaABAg"/>
    <s v="GYSgH1g_YQI"/>
    <s v="https://www.youtube.com/watch?v=GYSgH1g_YQI"/>
    <s v="none"/>
    <n v="0"/>
    <x v="106"/>
    <d v="2018-02-09T15:04:27.000"/>
    <m/>
    <m/>
    <s v=""/>
    <n v="1"/>
    <s v="5"/>
    <s v="5"/>
    <n v="0"/>
    <n v="0"/>
    <n v="0"/>
    <n v="0"/>
    <n v="0"/>
    <n v="0"/>
    <n v="31"/>
    <n v="100"/>
    <n v="31"/>
  </r>
  <r>
    <s v="UCk1fFx94xROs0rc-0X9B5xQ"/>
    <s v="UCcyRyUvk-VLYGh8srnf9E2Q"/>
    <m/>
    <m/>
    <m/>
    <m/>
    <m/>
    <m/>
    <m/>
    <m/>
    <s v="No"/>
    <n v="110"/>
    <m/>
    <m/>
    <s v="Commented Video"/>
    <x v="0"/>
    <s v="hocam ücretsiz sürümünü indirip kuramadım farklı bir sitedenmi indirmeye çaliştim acaba linkini paylaşabilirmisiniz ? kurulum yaparken excel 2007 gerekli diye bir uyarı veriyor ve devam  etmiyor ama okudugum yerlerde 2007 ve üstü sürümlerde çalışırr yazıyor&lt;br&gt;&lt;a href=&quot;http://download.cnet.com/NodeXL/3001-2077_4-10967171.html&quot;&gt;http://download.cnet.com/NodeXL/3001-2077_4-10967171.html&lt;/a&gt;    den denedim birde&lt;br&gt;&lt;a href=&quot;http://nodexl.codeplex.com/&quot;&gt;nodexl.codeplex.com&lt;/a&gt; sitesinde setup yok sanırım."/>
    <s v="UCk1fFx94xROs0rc-0X9B5xQ"/>
    <s v="sümeyye çelik"/>
    <s v="http://www.youtube.com/channel/UCk1fFx94xROs0rc-0X9B5xQ"/>
    <m/>
    <s v="GYSgH1g_YQI"/>
    <s v="https://www.youtube.com/watch?v=GYSgH1g_YQI"/>
    <s v="none"/>
    <n v="0"/>
    <x v="107"/>
    <d v="2018-02-09T12:02:28.000"/>
    <s v=" http://download.cnet.com/NodeXL/3001-2077_4-10967171.html http://download.cnet.com/NodeXL/3001-2077_4-10967171.html http://nodexl.codeplex.com/"/>
    <s v="cnet.com cnet.com codeplex.com"/>
    <s v=""/>
    <n v="1"/>
    <s v="5"/>
    <s v="5"/>
    <n v="1"/>
    <n v="1.3513513513513513"/>
    <n v="0"/>
    <n v="0"/>
    <n v="0"/>
    <n v="0"/>
    <n v="73"/>
    <n v="98.64864864864865"/>
    <n v="74"/>
  </r>
  <r>
    <s v="UCaHhU-OK1Vac5L2ghUiDtfw"/>
    <s v="UC9WOPcj0UJiSLURpeHpTLGg"/>
    <m/>
    <m/>
    <m/>
    <m/>
    <m/>
    <m/>
    <m/>
    <m/>
    <s v="No"/>
    <n v="111"/>
    <m/>
    <m/>
    <s v="Replied Comment"/>
    <x v="1"/>
    <s v="ben de aynısını arıyorum iki video da sizin yorumu görünce yazayım dedim. bulabildiniz mi ?"/>
    <s v="UCaHhU-OK1Vac5L2ghUiDtfw"/>
    <s v="Özgür Ağrali"/>
    <s v="http://www.youtube.com/channel/UCaHhU-OK1Vac5L2ghUiDtfw"/>
    <s v="UgyY-471aqOucVMavT54AaABAg"/>
    <s v="GYSgH1g_YQI"/>
    <s v="https://www.youtube.com/watch?v="/>
    <s v="none"/>
    <n v="0"/>
    <x v="108"/>
    <d v="2020-11-18T14:28:47.000"/>
    <m/>
    <m/>
    <s v=""/>
    <n v="1"/>
    <s v="5"/>
    <s v="5"/>
    <n v="0"/>
    <n v="0"/>
    <n v="0"/>
    <n v="0"/>
    <n v="0"/>
    <n v="0"/>
    <n v="14"/>
    <n v="100"/>
    <n v="14"/>
  </r>
  <r>
    <s v="UC9WOPcj0UJiSLURpeHpTLGg"/>
    <s v="UCcyRyUvk-VLYGh8srnf9E2Q"/>
    <m/>
    <m/>
    <m/>
    <m/>
    <m/>
    <m/>
    <m/>
    <m/>
    <s v="No"/>
    <n v="112"/>
    <m/>
    <m/>
    <s v="Commented Video"/>
    <x v="0"/>
    <s v="Twitter&amp;#39;dan bir hashtag&amp;#39;te belli tarihler arasında veri çekmek istiyorum . hangi programı kullanmalıyım? örneğin  27/02.2020 - 04/03/2020 tarihleri arasında &lt;a href=&quot;http://www.youtube.com/results?search_query=%23m%C3%BClteci&quot;&gt;#mülteci&lt;/a&gt; hashtag&amp;#39;iyle atılan verileri görebilir miyim?"/>
    <s v="UC9WOPcj0UJiSLURpeHpTLGg"/>
    <s v="Ayşen Özenir"/>
    <s v="http://www.youtube.com/channel/UC9WOPcj0UJiSLURpeHpTLGg"/>
    <m/>
    <s v="GYSgH1g_YQI"/>
    <s v="https://www.youtube.com/watch?v=GYSgH1g_YQI"/>
    <s v="none"/>
    <n v="0"/>
    <x v="109"/>
    <d v="2020-11-17T22:26:08.000"/>
    <s v=" http://www.youtube.com/results?search_query=%23m%C3%BClteci"/>
    <s v="youtube.com"/>
    <s v=""/>
    <n v="1"/>
    <s v="5"/>
    <s v="5"/>
    <n v="0"/>
    <n v="0"/>
    <n v="0"/>
    <n v="0"/>
    <n v="0"/>
    <n v="0"/>
    <n v="45"/>
    <n v="100"/>
    <n v="45"/>
  </r>
  <r>
    <s v="UCJIZkb4wSJWKnDl2y3zC5Fg"/>
    <s v="UCerAw4EfTOnYYxLLPZAzMxQ"/>
    <m/>
    <m/>
    <m/>
    <m/>
    <m/>
    <m/>
    <m/>
    <m/>
    <s v="No"/>
    <n v="113"/>
    <m/>
    <m/>
    <s v="Commented Video"/>
    <x v="0"/>
    <s v="Hello sir,&lt;br&gt;I have one question. &lt;br&gt;I recently start my msc thesis, social media  network analysis but i don&amp;#39;t know how to start what kind of analysis we can do and what kind of problem we can solve with social network analysis. What will be my research area ."/>
    <s v="UCJIZkb4wSJWKnDl2y3zC5Fg"/>
    <s v="Srazi Abbas"/>
    <s v="http://www.youtube.com/channel/UCJIZkb4wSJWKnDl2y3zC5Fg"/>
    <m/>
    <s v="_ci5QaUkAfw"/>
    <s v="https://www.youtube.com/watch?v=_ci5QaUkAfw"/>
    <s v="none"/>
    <n v="0"/>
    <x v="110"/>
    <d v="2015-08-01T00:51:09.000"/>
    <m/>
    <m/>
    <s v=""/>
    <n v="1"/>
    <s v="1"/>
    <s v="1"/>
    <n v="0"/>
    <n v="0"/>
    <n v="1"/>
    <n v="1.9230769230769231"/>
    <n v="0"/>
    <n v="0"/>
    <n v="51"/>
    <n v="98.07692307692308"/>
    <n v="52"/>
  </r>
  <r>
    <s v="UCdroRJc0_ZpOqXd_5Gp1UEA"/>
    <s v="UC4B0PCHbdzSSzlHORDsaYjQ"/>
    <m/>
    <m/>
    <m/>
    <m/>
    <m/>
    <m/>
    <m/>
    <m/>
    <s v="No"/>
    <n v="114"/>
    <m/>
    <m/>
    <s v="Commented Video"/>
    <x v="0"/>
    <s v="This is a new version?"/>
    <s v="UCdroRJc0_ZpOqXd_5Gp1UEA"/>
    <s v="Ezio Alves"/>
    <s v="http://www.youtube.com/channel/UCdroRJc0_ZpOqXd_5Gp1UEA"/>
    <m/>
    <s v="yknqOhpUtzQ"/>
    <s v="https://www.youtube.com/watch?v=yknqOhpUtzQ"/>
    <s v="none"/>
    <n v="0"/>
    <x v="111"/>
    <d v="2015-05-31T22:36:18.000"/>
    <m/>
    <m/>
    <s v=""/>
    <n v="1"/>
    <s v="7"/>
    <s v="7"/>
    <n v="0"/>
    <n v="0"/>
    <n v="0"/>
    <n v="0"/>
    <n v="0"/>
    <n v="0"/>
    <n v="5"/>
    <n v="100"/>
    <n v="5"/>
  </r>
  <r>
    <s v="UCh3yYzeRVs-FINrguoLPzjA"/>
    <s v="UC4B0PCHbdzSSzlHORDsaYjQ"/>
    <m/>
    <m/>
    <m/>
    <m/>
    <m/>
    <m/>
    <m/>
    <m/>
    <s v="No"/>
    <n v="115"/>
    <m/>
    <m/>
    <s v="Commented Video"/>
    <x v="0"/>
    <s v="how do i use the fade out when i filter the graph?"/>
    <s v="UCh3yYzeRVs-FINrguoLPzjA"/>
    <s v="Fissle Wine"/>
    <s v="http://www.youtube.com/channel/UCh3yYzeRVs-FINrguoLPzjA"/>
    <m/>
    <s v="yknqOhpUtzQ"/>
    <s v="https://www.youtube.com/watch?v=yknqOhpUtzQ"/>
    <s v="none"/>
    <n v="0"/>
    <x v="112"/>
    <d v="2015-12-03T20:05:57.000"/>
    <m/>
    <m/>
    <s v=""/>
    <n v="1"/>
    <s v="7"/>
    <s v="7"/>
    <n v="0"/>
    <n v="0"/>
    <n v="0"/>
    <n v="0"/>
    <n v="0"/>
    <n v="0"/>
    <n v="12"/>
    <n v="100"/>
    <n v="12"/>
  </r>
  <r>
    <s v="UCixxAbFxgX_ukjZQmAnkSPw"/>
    <s v="UC4B0PCHbdzSSzlHORDsaYjQ"/>
    <m/>
    <m/>
    <m/>
    <m/>
    <m/>
    <m/>
    <m/>
    <m/>
    <s v="No"/>
    <n v="116"/>
    <m/>
    <m/>
    <s v="Commented Video"/>
    <x v="0"/>
    <s v="Why do you use harel over frucherman? Is just a personal preference?"/>
    <s v="UCixxAbFxgX_ukjZQmAnkSPw"/>
    <s v="Michelle Molina"/>
    <s v="http://www.youtube.com/channel/UCixxAbFxgX_ukjZQmAnkSPw"/>
    <m/>
    <s v="yknqOhpUtzQ"/>
    <s v="https://www.youtube.com/watch?v=yknqOhpUtzQ"/>
    <s v="none"/>
    <n v="0"/>
    <x v="113"/>
    <d v="2016-02-25T19:18:07.000"/>
    <m/>
    <m/>
    <s v=""/>
    <n v="1"/>
    <s v="7"/>
    <s v="7"/>
    <n v="0"/>
    <n v="0"/>
    <n v="0"/>
    <n v="0"/>
    <n v="0"/>
    <n v="0"/>
    <n v="12"/>
    <n v="100"/>
    <n v="12"/>
  </r>
  <r>
    <s v="UCI9yBt6c5JsNA4ojCmidRiQ"/>
    <s v="UC4B0PCHbdzSSzlHORDsaYjQ"/>
    <m/>
    <m/>
    <m/>
    <m/>
    <m/>
    <m/>
    <m/>
    <m/>
    <s v="No"/>
    <n v="117"/>
    <m/>
    <m/>
    <s v="Commented Video"/>
    <x v="0"/>
    <s v="This has been extremely helpful, thank you."/>
    <s v="UCI9yBt6c5JsNA4ojCmidRiQ"/>
    <s v="Christian Caldwell"/>
    <s v="http://www.youtube.com/channel/UCI9yBt6c5JsNA4ojCmidRiQ"/>
    <m/>
    <s v="yknqOhpUtzQ"/>
    <s v="https://www.youtube.com/watch?v=yknqOhpUtzQ"/>
    <s v="none"/>
    <n v="0"/>
    <x v="114"/>
    <d v="2016-11-22T19:17:26.000"/>
    <m/>
    <m/>
    <s v=""/>
    <n v="1"/>
    <s v="7"/>
    <s v="7"/>
    <n v="2"/>
    <n v="28.571428571428573"/>
    <n v="0"/>
    <n v="0"/>
    <n v="0"/>
    <n v="0"/>
    <n v="5"/>
    <n v="71.42857142857143"/>
    <n v="7"/>
  </r>
  <r>
    <s v="UCKuZZ1l9Em5c5WYrPKvLJWg"/>
    <s v="UC4B0PCHbdzSSzlHORDsaYjQ"/>
    <m/>
    <m/>
    <m/>
    <m/>
    <m/>
    <m/>
    <m/>
    <m/>
    <s v="No"/>
    <n v="118"/>
    <m/>
    <m/>
    <s v="Commented Video"/>
    <x v="0"/>
    <s v="really helpful, thank you"/>
    <s v="UCKuZZ1l9Em5c5WYrPKvLJWg"/>
    <s v="nattakan iusakul"/>
    <s v="http://www.youtube.com/channel/UCKuZZ1l9Em5c5WYrPKvLJWg"/>
    <m/>
    <s v="yknqOhpUtzQ"/>
    <s v="https://www.youtube.com/watch?v=yknqOhpUtzQ"/>
    <s v="none"/>
    <n v="0"/>
    <x v="115"/>
    <d v="2017-09-20T04:05:49.000"/>
    <m/>
    <m/>
    <s v=""/>
    <n v="1"/>
    <s v="7"/>
    <s v="7"/>
    <n v="2"/>
    <n v="50"/>
    <n v="0"/>
    <n v="0"/>
    <n v="0"/>
    <n v="0"/>
    <n v="2"/>
    <n v="50"/>
    <n v="4"/>
  </r>
  <r>
    <s v="UC5lFWTaAy8fFiZpMxEhN98A"/>
    <s v="UCGajcAd0-l59-ly_FeDMYXw"/>
    <m/>
    <m/>
    <m/>
    <m/>
    <m/>
    <m/>
    <m/>
    <m/>
    <s v="No"/>
    <n v="119"/>
    <m/>
    <m/>
    <s v="Commented Video"/>
    <x v="0"/>
    <s v="Link download software nya kok error ya min?"/>
    <s v="UC5lFWTaAy8fFiZpMxEhN98A"/>
    <s v="Yusufil Akbar"/>
    <s v="http://www.youtube.com/channel/UC5lFWTaAy8fFiZpMxEhN98A"/>
    <m/>
    <s v="TrCcbMEkJM0"/>
    <s v="https://www.youtube.com/watch?v=TrCcbMEkJM0"/>
    <s v="none"/>
    <n v="0"/>
    <x v="116"/>
    <d v="2021-10-03T02:52:56.000"/>
    <m/>
    <m/>
    <s v=""/>
    <n v="1"/>
    <s v="15"/>
    <s v="15"/>
    <n v="0"/>
    <n v="0"/>
    <n v="1"/>
    <n v="12.5"/>
    <n v="0"/>
    <n v="0"/>
    <n v="7"/>
    <n v="87.5"/>
    <n v="8"/>
  </r>
  <r>
    <s v="UCJL0AOQJZ0BewrdqUoIoqRw"/>
    <s v="UCGajcAd0-l59-ly_FeDMYXw"/>
    <m/>
    <m/>
    <m/>
    <m/>
    <m/>
    <m/>
    <m/>
    <m/>
    <s v="No"/>
    <n v="120"/>
    <m/>
    <m/>
    <s v="Commented Video"/>
    <x v="0"/>
    <s v="the link doesnt work :("/>
    <s v="UCJL0AOQJZ0BewrdqUoIoqRw"/>
    <s v="SABARIHA BINTI CHE HUSSIN"/>
    <s v="http://www.youtube.com/channel/UCJL0AOQJZ0BewrdqUoIoqRw"/>
    <m/>
    <s v="TrCcbMEkJM0"/>
    <s v="https://www.youtube.com/watch?v=TrCcbMEkJM0"/>
    <s v="none"/>
    <n v="0"/>
    <x v="117"/>
    <d v="2022-03-26T06:56:53.000"/>
    <m/>
    <m/>
    <s v=""/>
    <n v="1"/>
    <s v="15"/>
    <s v="15"/>
    <n v="1"/>
    <n v="25"/>
    <n v="0"/>
    <n v="0"/>
    <n v="0"/>
    <n v="0"/>
    <n v="3"/>
    <n v="75"/>
    <n v="4"/>
  </r>
  <r>
    <s v="UCOTJh6zzR3-NAPJBNKaqOgw"/>
    <s v="UC4B0PCHbdzSSzlHORDsaYjQ"/>
    <m/>
    <m/>
    <m/>
    <m/>
    <m/>
    <m/>
    <m/>
    <m/>
    <s v="No"/>
    <n v="121"/>
    <m/>
    <m/>
    <s v="Commented Video"/>
    <x v="0"/>
    <s v="Thank you! Life saver!"/>
    <s v="UCOTJh6zzR3-NAPJBNKaqOgw"/>
    <s v="Juliana Maria Trammel"/>
    <s v="http://www.youtube.com/channel/UCOTJh6zzR3-NAPJBNKaqOgw"/>
    <m/>
    <s v="0snyC8fNhXo"/>
    <s v="https://www.youtube.com/watch?v=0snyC8fNhXo"/>
    <s v="none"/>
    <n v="1"/>
    <x v="118"/>
    <d v="2016-03-12T03:01:42.000"/>
    <m/>
    <m/>
    <s v=""/>
    <n v="1"/>
    <s v="7"/>
    <s v="7"/>
    <n v="2"/>
    <n v="50"/>
    <n v="0"/>
    <n v="0"/>
    <n v="0"/>
    <n v="0"/>
    <n v="2"/>
    <n v="50"/>
    <n v="4"/>
  </r>
  <r>
    <s v="UC0UMID05DoGXImC7u-VQ8cA"/>
    <s v="UCwya1YV0VVcNVA1ALPpaZ5g"/>
    <m/>
    <m/>
    <m/>
    <m/>
    <m/>
    <m/>
    <m/>
    <m/>
    <s v="No"/>
    <n v="122"/>
    <m/>
    <m/>
    <s v="Replied Comment"/>
    <x v="1"/>
    <s v="Hi Kellogg, could you send me the sample data to me for practise, since the NodeXL has banned the twitter importer for basic version. Really appreciate your help"/>
    <s v="UC0UMID05DoGXImC7u-VQ8cA"/>
    <s v="Niko Feng"/>
    <s v="http://www.youtube.com/channel/UC0UMID05DoGXImC7u-VQ8cA"/>
    <s v="Ugjd4n-S0eHX23gCoAEC"/>
    <s v="0snyC8fNhXo"/>
    <s v="https://www.youtube.com/watch?v=0snyC8fNhXo"/>
    <s v="none"/>
    <n v="0"/>
    <x v="119"/>
    <d v="2016-10-15T13:26:00.000"/>
    <m/>
    <m/>
    <s v=""/>
    <n v="1"/>
    <s v="7"/>
    <s v="7"/>
    <n v="1"/>
    <n v="3.5714285714285716"/>
    <n v="0"/>
    <n v="0"/>
    <n v="0"/>
    <n v="0"/>
    <n v="27"/>
    <n v="96.42857142857143"/>
    <n v="28"/>
  </r>
  <r>
    <s v="UC4B0PCHbdzSSzlHORDsaYjQ"/>
    <s v="UCwya1YV0VVcNVA1ALPpaZ5g"/>
    <m/>
    <m/>
    <m/>
    <m/>
    <m/>
    <m/>
    <m/>
    <m/>
    <s v="Yes"/>
    <n v="123"/>
    <m/>
    <m/>
    <s v="Replied Comment"/>
    <x v="1"/>
    <s v="NodeXL generates the graphs, and they can be exported as a standard jpeg file."/>
    <s v="UC4B0PCHbdzSSzlHORDsaYjQ"/>
    <s v="Shaun Kellogg"/>
    <s v="http://www.youtube.com/channel/UC4B0PCHbdzSSzlHORDsaYjQ"/>
    <s v="Ugjd4n-S0eHX23gCoAEC"/>
    <s v="0snyC8fNhXo"/>
    <s v="https://www.youtube.com/watch?v=0snyC8fNhXo"/>
    <s v="none"/>
    <n v="0"/>
    <x v="120"/>
    <d v="2016-07-05T22:49:42.000"/>
    <m/>
    <m/>
    <s v=""/>
    <n v="1"/>
    <s v="7"/>
    <s v="7"/>
    <n v="0"/>
    <n v="0"/>
    <n v="0"/>
    <n v="0"/>
    <n v="0"/>
    <n v="0"/>
    <n v="14"/>
    <n v="100"/>
    <n v="14"/>
  </r>
  <r>
    <s v="UCwya1YV0VVcNVA1ALPpaZ5g"/>
    <s v="UC4B0PCHbdzSSzlHORDsaYjQ"/>
    <m/>
    <m/>
    <m/>
    <m/>
    <m/>
    <m/>
    <m/>
    <m/>
    <s v="Yes"/>
    <n v="124"/>
    <m/>
    <m/>
    <s v="Commented Video"/>
    <x v="0"/>
    <s v="Which application software is used for graph output?? please help"/>
    <s v="UCwya1YV0VVcNVA1ALPpaZ5g"/>
    <s v="Ravikant K"/>
    <s v="http://www.youtube.com/channel/UCwya1YV0VVcNVA1ALPpaZ5g"/>
    <m/>
    <s v="0snyC8fNhXo"/>
    <s v="https://www.youtube.com/watch?v=0snyC8fNhXo"/>
    <s v="none"/>
    <n v="0"/>
    <x v="121"/>
    <d v="2016-07-04T16:45:08.000"/>
    <m/>
    <m/>
    <s v=""/>
    <n v="1"/>
    <s v="7"/>
    <s v="7"/>
    <n v="0"/>
    <n v="0"/>
    <n v="0"/>
    <n v="0"/>
    <n v="0"/>
    <n v="0"/>
    <n v="10"/>
    <n v="100"/>
    <n v="10"/>
  </r>
  <r>
    <s v="UCerAw4EfTOnYYxLLPZAzMxQ"/>
    <s v="UCuPfgSrWOc2EmNcS-dnRC8A"/>
    <m/>
    <m/>
    <m/>
    <m/>
    <m/>
    <m/>
    <m/>
    <m/>
    <s v="Yes"/>
    <n v="125"/>
    <m/>
    <m/>
    <s v="Replied Comment"/>
    <x v="1"/>
    <s v="Hi, V.M.. One important change in NodeXL since 2013 is that there is now a Pro (paid) and a Basic (free) version. In the Basic version, many previously free capabilities are no longer available.  In NodeXL Pro now, collecting only mentions (and not replies) is not possible, but it is simple enough in the results to filter out one type or the other."/>
    <s v="UCerAw4EfTOnYYxLLPZAzMxQ"/>
    <s v="James Cook"/>
    <s v="http://www.youtube.com/channel/UCerAw4EfTOnYYxLLPZAzMxQ"/>
    <s v="UggtoHb3Y2R5-ngCoAEC"/>
    <s v="CwQ8IrHZDgA"/>
    <s v="https://www.youtube.com/watch?v=CwQ8IrHZDgA"/>
    <s v="none"/>
    <n v="0"/>
    <x v="122"/>
    <d v="2017-01-06T20:17:01.000"/>
    <m/>
    <m/>
    <s v=""/>
    <n v="1"/>
    <s v="1"/>
    <s v="1"/>
    <n v="5"/>
    <n v="7.8125"/>
    <n v="0"/>
    <n v="0"/>
    <n v="0"/>
    <n v="0"/>
    <n v="59"/>
    <n v="92.1875"/>
    <n v="64"/>
  </r>
  <r>
    <s v="UCuPfgSrWOc2EmNcS-dnRC8A"/>
    <s v="UCuPfgSrWOc2EmNcS-dnRC8A"/>
    <m/>
    <m/>
    <m/>
    <m/>
    <m/>
    <m/>
    <m/>
    <m/>
    <s v="No"/>
    <n v="126"/>
    <m/>
    <m/>
    <s v="Replied Comment"/>
    <x v="1"/>
    <s v="I see, thank you for helping."/>
    <s v="UCuPfgSrWOc2EmNcS-dnRC8A"/>
    <s v="visca moudy"/>
    <s v="http://www.youtube.com/channel/UCuPfgSrWOc2EmNcS-dnRC8A"/>
    <s v="UggtoHb3Y2R5-ngCoAEC"/>
    <s v="CwQ8IrHZDgA"/>
    <s v="https://www.youtube.com/watch?v=CwQ8IrHZDgA"/>
    <s v="none"/>
    <n v="0"/>
    <x v="123"/>
    <d v="2017-01-07T07:17:55.000"/>
    <m/>
    <m/>
    <s v=""/>
    <n v="1"/>
    <s v="1"/>
    <s v="1"/>
    <n v="2"/>
    <n v="33.333333333333336"/>
    <n v="0"/>
    <n v="0"/>
    <n v="0"/>
    <n v="0"/>
    <n v="4"/>
    <n v="66.66666666666667"/>
    <n v="6"/>
  </r>
  <r>
    <s v="UCuPfgSrWOc2EmNcS-dnRC8A"/>
    <s v="UCerAw4EfTOnYYxLLPZAzMxQ"/>
    <m/>
    <m/>
    <m/>
    <m/>
    <m/>
    <m/>
    <m/>
    <m/>
    <s v="Yes"/>
    <n v="127"/>
    <m/>
    <m/>
    <s v="Commented Video"/>
    <x v="0"/>
    <s v="Dear Dr Cook, Is it right that the preview of the edges&amp;#39; options(for importing data from twitter) of the latest nodeXL kind of different from the 2013 one (that i  saw on ur previous tutorial) ?. As we are no longer able to have an option whether to take mentions only, reply to only,etc.&lt;br&gt;Thank You"/>
    <s v="UCuPfgSrWOc2EmNcS-dnRC8A"/>
    <s v="visca moudy"/>
    <s v="http://www.youtube.com/channel/UCuPfgSrWOc2EmNcS-dnRC8A"/>
    <m/>
    <s v="CwQ8IrHZDgA"/>
    <s v="https://www.youtube.com/watch?v=CwQ8IrHZDgA"/>
    <s v="none"/>
    <n v="0"/>
    <x v="124"/>
    <d v="2017-01-06T18:41:41.000"/>
    <m/>
    <m/>
    <s v=""/>
    <n v="1"/>
    <s v="1"/>
    <s v="1"/>
    <n v="2"/>
    <n v="3.389830508474576"/>
    <n v="0"/>
    <n v="0"/>
    <n v="0"/>
    <n v="0"/>
    <n v="57"/>
    <n v="96.61016949152543"/>
    <n v="59"/>
  </r>
  <r>
    <s v="UCdtcABJ52mOHCXSIzO6SpGA"/>
    <s v="UCerAw4EfTOnYYxLLPZAzMxQ"/>
    <m/>
    <m/>
    <m/>
    <m/>
    <m/>
    <m/>
    <m/>
    <m/>
    <s v="No"/>
    <n v="128"/>
    <m/>
    <m/>
    <s v="Commented Video"/>
    <x v="0"/>
    <s v="Great video!"/>
    <s v="UCdtcABJ52mOHCXSIzO6SpGA"/>
    <s v="AGray Gray"/>
    <s v="http://www.youtube.com/channel/UCdtcABJ52mOHCXSIzO6SpGA"/>
    <m/>
    <s v="t8YHRVf60BU"/>
    <s v="https://www.youtube.com/watch?v=t8YHRVf60BU"/>
    <s v="none"/>
    <n v="0"/>
    <x v="125"/>
    <d v="2014-05-14T21:38:27.000"/>
    <m/>
    <m/>
    <s v=""/>
    <n v="1"/>
    <s v="1"/>
    <s v="1"/>
    <n v="1"/>
    <n v="50"/>
    <n v="0"/>
    <n v="0"/>
    <n v="0"/>
    <n v="0"/>
    <n v="1"/>
    <n v="50"/>
    <n v="2"/>
  </r>
  <r>
    <s v="UC9cKkmwkK5RE3Yon6NglcwA"/>
    <s v="UCerAw4EfTOnYYxLLPZAzMxQ"/>
    <m/>
    <m/>
    <m/>
    <m/>
    <m/>
    <m/>
    <m/>
    <m/>
    <s v="No"/>
    <n v="129"/>
    <m/>
    <m/>
    <s v="Commented Video"/>
    <x v="0"/>
    <s v="Nice work, thanks!"/>
    <s v="UC9cKkmwkK5RE3Yon6NglcwA"/>
    <s v="Jasminka Kovačević"/>
    <s v="http://www.youtube.com/channel/UC9cKkmwkK5RE3Yon6NglcwA"/>
    <m/>
    <s v="t8YHRVf60BU"/>
    <s v="https://www.youtube.com/watch?v=t8YHRVf60BU"/>
    <s v="none"/>
    <n v="0"/>
    <x v="126"/>
    <d v="2015-08-11T16:29:28.000"/>
    <m/>
    <m/>
    <s v=""/>
    <n v="1"/>
    <s v="1"/>
    <s v="1"/>
    <n v="2"/>
    <n v="66.66666666666667"/>
    <n v="0"/>
    <n v="0"/>
    <n v="0"/>
    <n v="0"/>
    <n v="1"/>
    <n v="33.333333333333336"/>
    <n v="3"/>
  </r>
  <r>
    <s v="UC6OBGTpqEY5Pn4-4xWg8QhQ"/>
    <s v="UCfpw3xq_g1xpdwlyq11atZQ"/>
    <m/>
    <m/>
    <m/>
    <m/>
    <m/>
    <m/>
    <m/>
    <m/>
    <s v="No"/>
    <n v="130"/>
    <m/>
    <m/>
    <s v="Commented Video"/>
    <x v="0"/>
    <s v="We can hardly see what is written in Node EXl I think it would be a lot better understandable to make it a little bit bigger.Thank you any way"/>
    <s v="UC6OBGTpqEY5Pn4-4xWg8QhQ"/>
    <s v="Fevzi Cankurtaran"/>
    <s v="http://www.youtube.com/channel/UC6OBGTpqEY5Pn4-4xWg8QhQ"/>
    <m/>
    <s v="owl9we4ldFI"/>
    <s v="https://www.youtube.com/watch?v=owl9we4ldFI"/>
    <s v="none"/>
    <n v="0"/>
    <x v="127"/>
    <d v="2019-05-24T17:23:53.000"/>
    <m/>
    <m/>
    <s v=""/>
    <n v="1"/>
    <s v="3"/>
    <s v="3"/>
    <n v="3"/>
    <n v="10"/>
    <n v="0"/>
    <n v="0"/>
    <n v="0"/>
    <n v="0"/>
    <n v="27"/>
    <n v="90"/>
    <n v="30"/>
  </r>
  <r>
    <s v="UCCwmutQCZD-xOlzyKKl5fag"/>
    <s v="UCfpw3xq_g1xpdwlyq11atZQ"/>
    <m/>
    <m/>
    <m/>
    <m/>
    <m/>
    <m/>
    <m/>
    <m/>
    <s v="No"/>
    <n v="131"/>
    <m/>
    <m/>
    <s v="Commented Video"/>
    <x v="0"/>
    <s v="Thank you for saving my ass 7 years after uploading this video. It&amp;#39;s just annoying that so many features are not available anymore in the basic version."/>
    <s v="UCCwmutQCZD-xOlzyKKl5fag"/>
    <s v="Kalt Gruen"/>
    <s v="http://www.youtube.com/channel/UCCwmutQCZD-xOlzyKKl5fag"/>
    <m/>
    <s v="owl9we4ldFI"/>
    <s v="https://www.youtube.com/watch?v=owl9we4ldFI"/>
    <s v="none"/>
    <n v="2"/>
    <x v="128"/>
    <d v="2019-08-16T16:16:43.000"/>
    <m/>
    <m/>
    <s v=""/>
    <n v="1"/>
    <s v="3"/>
    <s v="3"/>
    <n v="2"/>
    <n v="6.896551724137931"/>
    <n v="1"/>
    <n v="3.4482758620689653"/>
    <n v="0"/>
    <n v="0"/>
    <n v="26"/>
    <n v="89.65517241379311"/>
    <n v="29"/>
  </r>
  <r>
    <s v="UChPvILLGvBiP_SiUg9srazw"/>
    <s v="UCnrbbUoV6A2YP0tCJJfJSsg"/>
    <m/>
    <m/>
    <m/>
    <m/>
    <m/>
    <m/>
    <m/>
    <m/>
    <s v="No"/>
    <n v="132"/>
    <m/>
    <m/>
    <s v="Commented Video"/>
    <x v="0"/>
    <s v="Thanks g"/>
    <s v="UChPvILLGvBiP_SiUg9srazw"/>
    <s v="Oscar"/>
    <s v="http://www.youtube.com/channel/UChPvILLGvBiP_SiUg9srazw"/>
    <m/>
    <s v="mjAq8eA7uOM"/>
    <s v="https://www.youtube.com/watch?v=mjAq8eA7uOM"/>
    <s v="none"/>
    <n v="0"/>
    <x v="129"/>
    <d v="2021-12-06T14:34:58.000"/>
    <m/>
    <m/>
    <s v=""/>
    <n v="1"/>
    <s v="4"/>
    <s v="4"/>
    <n v="0"/>
    <n v="0"/>
    <n v="0"/>
    <n v="0"/>
    <n v="0"/>
    <n v="0"/>
    <n v="2"/>
    <n v="100"/>
    <n v="2"/>
  </r>
  <r>
    <s v="UCkNEkfKxEtYneNKzdgiefWg"/>
    <s v="UCqS6Idv3FEU9VQX7-yHwnSw"/>
    <m/>
    <m/>
    <m/>
    <m/>
    <m/>
    <m/>
    <m/>
    <m/>
    <s v="No"/>
    <n v="133"/>
    <m/>
    <m/>
    <s v="Commented Video"/>
    <x v="0"/>
    <s v="Fantastic video, cant wait for the deep dive into NodeXL"/>
    <s v="UCkNEkfKxEtYneNKzdgiefWg"/>
    <s v="ISP3026"/>
    <s v="http://www.youtube.com/channel/UCkNEkfKxEtYneNKzdgiefWg"/>
    <m/>
    <s v="leNjC1CQiow"/>
    <s v="https://www.youtube.com/watch?v=leNjC1CQiow"/>
    <s v="none"/>
    <n v="3"/>
    <x v="130"/>
    <d v="2019-04-13T22:40:15.000"/>
    <m/>
    <m/>
    <s v=""/>
    <n v="1"/>
    <s v="4"/>
    <s v="4"/>
    <n v="1"/>
    <n v="10"/>
    <n v="0"/>
    <n v="0"/>
    <n v="0"/>
    <n v="0"/>
    <n v="9"/>
    <n v="90"/>
    <n v="10"/>
  </r>
  <r>
    <s v="UC-abaNhleZ9l8u2eiQgIHXA"/>
    <s v="UCmB6rgL4vwKdmtRwoK6hNRA"/>
    <m/>
    <m/>
    <m/>
    <m/>
    <m/>
    <m/>
    <m/>
    <m/>
    <s v="No"/>
    <n v="134"/>
    <m/>
    <m/>
    <s v="Replied Comment"/>
    <x v="1"/>
    <s v="merhaba hocam bende yüksek lisans tezimde kullanmak istiyorum ama daha çok yeniyim ve daha cok yabancı kaynak buldum , sizle görüşmeyi rica etsem kabul eder misiniz? telefondan bir kaç soru sorsam ? kolaylıklar diliyorum"/>
    <s v="UC-abaNhleZ9l8u2eiQgIHXA"/>
    <s v="Burcu Bostan"/>
    <s v="http://www.youtube.com/channel/UC-abaNhleZ9l8u2eiQgIHXA"/>
    <s v="UgyCVYSA068GO9AIJOF4AaABAg"/>
    <s v="-dB0rwt6_U8"/>
    <s v="https://www.youtube.com/watch?v=-dB0rwt6_U8"/>
    <s v="none"/>
    <n v="0"/>
    <x v="131"/>
    <d v="2020-11-18T12:15:39.000"/>
    <m/>
    <m/>
    <s v=""/>
    <n v="1"/>
    <s v="5"/>
    <s v="5"/>
    <n v="0"/>
    <n v="0"/>
    <n v="0"/>
    <n v="0"/>
    <n v="0"/>
    <n v="0"/>
    <n v="32"/>
    <n v="100"/>
    <n v="32"/>
  </r>
  <r>
    <s v="UCmB6rgL4vwKdmtRwoK6hNRA"/>
    <s v="UCaz5lJl4O-DlZ0Ype11GGDQ"/>
    <m/>
    <m/>
    <m/>
    <m/>
    <m/>
    <m/>
    <m/>
    <m/>
    <s v="No"/>
    <n v="135"/>
    <m/>
    <m/>
    <s v="Commented Video"/>
    <x v="0"/>
    <s v="Hocam merhaba, programı sayenizde yükleyip çalıştırdım, doktora tezimde kullanıcam. Bir iki sorum olacak, size nasıl ulaşabilirim. Şimdiden çok teşekkürler. 0532 3084622. Saygılarımla."/>
    <s v="UCmB6rgL4vwKdmtRwoK6hNRA"/>
    <s v="B C"/>
    <s v="http://www.youtube.com/channel/UCmB6rgL4vwKdmtRwoK6hNRA"/>
    <m/>
    <s v="-dB0rwt6_U8"/>
    <s v="https://www.youtube.com/watch?v=-dB0rwt6_U8"/>
    <s v="none"/>
    <n v="0"/>
    <x v="132"/>
    <d v="2020-03-07T17:25:41.000"/>
    <m/>
    <m/>
    <s v=""/>
    <n v="1"/>
    <s v="5"/>
    <s v="5"/>
    <n v="0"/>
    <n v="0"/>
    <n v="0"/>
    <n v="0"/>
    <n v="0"/>
    <n v="0"/>
    <n v="22"/>
    <n v="100"/>
    <n v="22"/>
  </r>
  <r>
    <s v="UCaz5lJl4O-DlZ0Ype11GGDQ"/>
    <s v="UCiFbxhlcapLxvMvBOJfgiAQ"/>
    <m/>
    <m/>
    <m/>
    <m/>
    <m/>
    <m/>
    <m/>
    <m/>
    <s v="Yes"/>
    <n v="136"/>
    <m/>
    <m/>
    <s v="Replied Comment"/>
    <x v="1"/>
    <s v="Merhabalar. İlginiz için çok teşekkür ederim. Sizlerden gelen mesajlar ve yorumlar üzerine buraya bir not sabitledim. Umarım işinizi görür. İyi çalışmalar."/>
    <s v="UCaz5lJl4O-DlZ0Ype11GGDQ"/>
    <s v="Kaan"/>
    <s v="http://www.youtube.com/channel/UCaz5lJl4O-DlZ0Ype11GGDQ"/>
    <s v="Ugx8SZT2gQweZ_BjFbx4AaABAg"/>
    <s v="-dB0rwt6_U8"/>
    <s v="https://www.youtube.com/watch?v=-dB0rwt6_U8"/>
    <s v="none"/>
    <n v="0"/>
    <x v="133"/>
    <d v="2021-01-04T23:23:43.000"/>
    <m/>
    <m/>
    <s v=""/>
    <n v="1"/>
    <s v="5"/>
    <s v="5"/>
    <n v="0"/>
    <n v="0"/>
    <n v="0"/>
    <n v="0"/>
    <n v="0"/>
    <n v="0"/>
    <n v="21"/>
    <n v="100"/>
    <n v="21"/>
  </r>
  <r>
    <s v="UCiFbxhlcapLxvMvBOJfgiAQ"/>
    <s v="UCaz5lJl4O-DlZ0Ype11GGDQ"/>
    <m/>
    <m/>
    <m/>
    <m/>
    <m/>
    <m/>
    <m/>
    <m/>
    <s v="Yes"/>
    <n v="137"/>
    <m/>
    <m/>
    <s v="Commented Video"/>
    <x v="0"/>
    <s v="SELAM, BU KONUDA YARDIMA İHTİYACIM VAR ULAŞABİLİR MİSİNİZ?"/>
    <s v="UCiFbxhlcapLxvMvBOJfgiAQ"/>
    <s v="Sezgin Durmuş"/>
    <s v="http://www.youtube.com/channel/UCiFbxhlcapLxvMvBOJfgiAQ"/>
    <m/>
    <s v="-dB0rwt6_U8"/>
    <s v="https://www.youtube.com/watch?v=-dB0rwt6_U8"/>
    <s v="none"/>
    <n v="1"/>
    <x v="134"/>
    <d v="2020-12-21T19:48:17.000"/>
    <m/>
    <m/>
    <s v=""/>
    <n v="1"/>
    <s v="5"/>
    <s v="5"/>
    <n v="0"/>
    <n v="0"/>
    <n v="0"/>
    <n v="0"/>
    <n v="0"/>
    <n v="0"/>
    <n v="8"/>
    <n v="100"/>
    <n v="8"/>
  </r>
  <r>
    <s v="UC500ecg6iu4_fZI7ppnH5xg"/>
    <s v="UCaz5lJl4O-DlZ0Ype11GGDQ"/>
    <m/>
    <m/>
    <m/>
    <m/>
    <m/>
    <m/>
    <m/>
    <m/>
    <s v="No"/>
    <n v="138"/>
    <m/>
    <m/>
    <s v="Commented Video"/>
    <x v="0"/>
    <s v="Emeğine sağlık kardeşim ❤🙋‍♂️ yeni videolar istiyoruz👍"/>
    <s v="UC500ecg6iu4_fZI7ppnH5xg"/>
    <s v="caner canbir"/>
    <s v="http://www.youtube.com/channel/UC500ecg6iu4_fZI7ppnH5xg"/>
    <m/>
    <s v="-dB0rwt6_U8"/>
    <s v="https://www.youtube.com/watch?v=-dB0rwt6_U8"/>
    <s v="none"/>
    <n v="0"/>
    <x v="135"/>
    <d v="2021-02-24T22:45:31.000"/>
    <m/>
    <m/>
    <s v=""/>
    <n v="1"/>
    <s v="5"/>
    <s v="5"/>
    <n v="0"/>
    <n v="0"/>
    <n v="0"/>
    <n v="0"/>
    <n v="0"/>
    <n v="0"/>
    <n v="6"/>
    <n v="100"/>
    <n v="6"/>
  </r>
  <r>
    <s v="UCyKVToG2bdyFm9Zr7487GbQ"/>
    <s v="UCcyRyUvk-VLYGh8srnf9E2Q"/>
    <m/>
    <m/>
    <m/>
    <m/>
    <m/>
    <m/>
    <m/>
    <m/>
    <s v="No"/>
    <n v="139"/>
    <m/>
    <m/>
    <s v="Commented Video"/>
    <x v="0"/>
    <s v="indirdiğimiz veriyi gephi de açmak için hangi uzantı ile nasıl kaydedceğiz?"/>
    <s v="UCyKVToG2bdyFm9Zr7487GbQ"/>
    <s v="Mustafa Mustex"/>
    <s v="http://www.youtube.com/channel/UCyKVToG2bdyFm9Zr7487GbQ"/>
    <m/>
    <s v="GYSgH1g_YQI"/>
    <s v="https://www.youtube.com/watch?v=GYSgH1g_YQI"/>
    <s v="none"/>
    <n v="0"/>
    <x v="136"/>
    <d v="2022-01-14T22:10:36.000"/>
    <m/>
    <m/>
    <s v=""/>
    <n v="1"/>
    <s v="5"/>
    <s v="5"/>
    <n v="0"/>
    <n v="0"/>
    <n v="0"/>
    <n v="0"/>
    <n v="0"/>
    <n v="0"/>
    <n v="11"/>
    <n v="100"/>
    <n v="11"/>
  </r>
  <r>
    <s v="UCyKVToG2bdyFm9Zr7487GbQ"/>
    <s v="UCaz5lJl4O-DlZ0Ype11GGDQ"/>
    <m/>
    <m/>
    <m/>
    <m/>
    <m/>
    <m/>
    <m/>
    <m/>
    <s v="No"/>
    <n v="140"/>
    <m/>
    <m/>
    <s v="Commented Video"/>
    <x v="0"/>
    <s v="Merhaba; Mail gelmiyor ne yazık ki?"/>
    <s v="UCyKVToG2bdyFm9Zr7487GbQ"/>
    <s v="Mustafa Mustex"/>
    <s v="http://www.youtube.com/channel/UCyKVToG2bdyFm9Zr7487GbQ"/>
    <m/>
    <s v="-dB0rwt6_U8"/>
    <s v="https://www.youtube.com/watch?v=-dB0rwt6_U8"/>
    <s v="none"/>
    <n v="0"/>
    <x v="137"/>
    <d v="2022-01-14T20:30:12.000"/>
    <m/>
    <m/>
    <s v=""/>
    <n v="1"/>
    <s v="5"/>
    <s v="5"/>
    <n v="0"/>
    <n v="0"/>
    <n v="0"/>
    <n v="0"/>
    <n v="0"/>
    <n v="0"/>
    <n v="6"/>
    <n v="100"/>
    <n v="6"/>
  </r>
  <r>
    <s v="UCTpiluusEpdQER2ESjtp0dQ"/>
    <s v="UCntzGT7YKCWZXmfs7yCRbnw"/>
    <m/>
    <m/>
    <m/>
    <m/>
    <m/>
    <m/>
    <m/>
    <m/>
    <s v="No"/>
    <n v="141"/>
    <m/>
    <m/>
    <s v="Replied Comment"/>
    <x v="1"/>
    <s v="So awful, it ruins an otherwise good video!"/>
    <s v="UCTpiluusEpdQER2ESjtp0dQ"/>
    <s v="cellofeldy"/>
    <s v="http://www.youtube.com/channel/UCTpiluusEpdQER2ESjtp0dQ"/>
    <s v="UgxVHioXgWmg6uzyuEt4AaABAg"/>
    <s v="xKhYGRpbwOc"/>
    <s v="https://www.youtube.com/watch?v=xKhYGRpbwOc"/>
    <s v="none"/>
    <n v="0"/>
    <x v="138"/>
    <d v="2019-03-11T23:00:50.000"/>
    <m/>
    <m/>
    <s v=""/>
    <n v="1"/>
    <s v="6"/>
    <s v="6"/>
    <n v="1"/>
    <n v="12.5"/>
    <n v="2"/>
    <n v="25"/>
    <n v="0"/>
    <n v="0"/>
    <n v="5"/>
    <n v="62.5"/>
    <n v="8"/>
  </r>
  <r>
    <s v="UCntzGT7YKCWZXmfs7yCRbnw"/>
    <s v="UCOQy7XDYjkjhb0QwVMwf-7A"/>
    <m/>
    <m/>
    <m/>
    <m/>
    <m/>
    <m/>
    <m/>
    <m/>
    <s v="No"/>
    <n v="142"/>
    <m/>
    <m/>
    <s v="Commented Video"/>
    <x v="0"/>
    <s v="I hear your clock.  Tick,, tick,, tick,, tick,,"/>
    <s v="UCntzGT7YKCWZXmfs7yCRbnw"/>
    <s v="Nils Finholt"/>
    <s v="http://www.youtube.com/channel/UCntzGT7YKCWZXmfs7yCRbnw"/>
    <m/>
    <s v="xKhYGRpbwOc"/>
    <s v="https://www.youtube.com/watch?v=xKhYGRpbwOc"/>
    <s v="none"/>
    <n v="2"/>
    <x v="139"/>
    <d v="2013-03-17T04:17:57.000"/>
    <m/>
    <m/>
    <s v=""/>
    <n v="1"/>
    <s v="6"/>
    <s v="6"/>
    <n v="0"/>
    <n v="0"/>
    <n v="0"/>
    <n v="0"/>
    <n v="0"/>
    <n v="0"/>
    <n v="8"/>
    <n v="100"/>
    <n v="8"/>
  </r>
  <r>
    <s v="UCvGUF5crGKWgcjNfy69om-w"/>
    <s v="UCOQy7XDYjkjhb0QwVMwf-7A"/>
    <m/>
    <m/>
    <m/>
    <m/>
    <m/>
    <m/>
    <m/>
    <m/>
    <s v="No"/>
    <n v="143"/>
    <m/>
    <m/>
    <s v="Commented Video"/>
    <x v="0"/>
    <s v="I can&amp;#39;t hear u, honestly"/>
    <s v="UCvGUF5crGKWgcjNfy69om-w"/>
    <s v="Marlisa Kurniati"/>
    <s v="http://www.youtube.com/channel/UCvGUF5crGKWgcjNfy69om-w"/>
    <m/>
    <s v="xKhYGRpbwOc"/>
    <s v="https://www.youtube.com/watch?v=xKhYGRpbwOc"/>
    <s v="none"/>
    <n v="1"/>
    <x v="140"/>
    <d v="2013-04-12T07:37:14.000"/>
    <m/>
    <m/>
    <s v=""/>
    <n v="1"/>
    <s v="6"/>
    <s v="6"/>
    <n v="0"/>
    <n v="0"/>
    <n v="0"/>
    <n v="0"/>
    <n v="0"/>
    <n v="0"/>
    <n v="7"/>
    <n v="100"/>
    <n v="7"/>
  </r>
  <r>
    <s v="UCkC3h3DJjv33UNvnAUmP8QA"/>
    <s v="UCOQy7XDYjkjhb0QwVMwf-7A"/>
    <m/>
    <m/>
    <m/>
    <m/>
    <m/>
    <m/>
    <m/>
    <m/>
    <s v="No"/>
    <n v="144"/>
    <m/>
    <m/>
    <s v="Commented Video"/>
    <x v="0"/>
    <s v="NIce video. Greatly appreaciated. Which is the next video following that one?"/>
    <s v="UCkC3h3DJjv33UNvnAUmP8QA"/>
    <s v="Filippos Dizen"/>
    <s v="http://www.youtube.com/channel/UCkC3h3DJjv33UNvnAUmP8QA"/>
    <m/>
    <s v="xKhYGRpbwOc"/>
    <s v="https://www.youtube.com/watch?v=xKhYGRpbwOc"/>
    <s v="none"/>
    <n v="0"/>
    <x v="141"/>
    <d v="2014-05-10T23:56:03.000"/>
    <m/>
    <m/>
    <s v=""/>
    <n v="1"/>
    <s v="6"/>
    <s v="6"/>
    <n v="1"/>
    <n v="8.333333333333334"/>
    <n v="0"/>
    <n v="0"/>
    <n v="0"/>
    <n v="0"/>
    <n v="11"/>
    <n v="91.66666666666667"/>
    <n v="12"/>
  </r>
  <r>
    <s v="UCs_w8C3KKuchf7tTDjLH6EQ"/>
    <s v="UCOQy7XDYjkjhb0QwVMwf-7A"/>
    <m/>
    <m/>
    <m/>
    <m/>
    <m/>
    <m/>
    <m/>
    <m/>
    <s v="No"/>
    <n v="145"/>
    <m/>
    <m/>
    <s v="Commented Video"/>
    <x v="0"/>
    <s v="Cuál es la data?"/>
    <s v="UCs_w8C3KKuchf7tTDjLH6EQ"/>
    <s v="Lorena m s"/>
    <s v="http://www.youtube.com/channel/UCs_w8C3KKuchf7tTDjLH6EQ"/>
    <m/>
    <s v="xKhYGRpbwOc"/>
    <s v="https://www.youtube.com/watch?v=xKhYGRpbwOc"/>
    <s v="none"/>
    <n v="0"/>
    <x v="142"/>
    <d v="2021-01-11T02:30:18.000"/>
    <m/>
    <m/>
    <s v=""/>
    <n v="1"/>
    <s v="6"/>
    <s v="6"/>
    <n v="0"/>
    <n v="0"/>
    <n v="0"/>
    <n v="0"/>
    <n v="0"/>
    <n v="0"/>
    <n v="4"/>
    <n v="100"/>
    <n v="4"/>
  </r>
  <r>
    <s v="UCOQy7XDYjkjhb0QwVMwf-7A"/>
    <s v="UC33YvdKdCbETlDVRz_I42sw"/>
    <m/>
    <m/>
    <m/>
    <m/>
    <m/>
    <m/>
    <m/>
    <m/>
    <s v="Yes"/>
    <n v="146"/>
    <m/>
    <m/>
    <s v="Replied Comment"/>
    <x v="1"/>
    <s v="Links from others to you = in degree&lt;br&gt;&lt;br&gt;Links from you to others = out degree"/>
    <s v="UCOQy7XDYjkjhb0QwVMwf-7A"/>
    <s v="Marc Smith"/>
    <s v="http://www.youtube.com/channel/UCOQy7XDYjkjhb0QwVMwf-7A"/>
    <s v="UgxAhRAFDxIv6pA8KA14AaABAg"/>
    <s v="xKhYGRpbwOc"/>
    <s v="https://www.youtube.com/watch?v=xKhYGRpbwOc"/>
    <s v="none"/>
    <n v="0"/>
    <x v="143"/>
    <d v="2021-10-05T03:36:40.000"/>
    <m/>
    <m/>
    <s v=""/>
    <n v="1"/>
    <s v="6"/>
    <s v="6"/>
    <n v="0"/>
    <n v="0"/>
    <n v="0"/>
    <n v="0"/>
    <n v="0"/>
    <n v="0"/>
    <n v="16"/>
    <n v="100"/>
    <n v="16"/>
  </r>
  <r>
    <s v="UC33YvdKdCbETlDVRz_I42sw"/>
    <s v="UCOQy7XDYjkjhb0QwVMwf-7A"/>
    <m/>
    <m/>
    <m/>
    <m/>
    <m/>
    <m/>
    <m/>
    <m/>
    <s v="Yes"/>
    <n v="147"/>
    <m/>
    <m/>
    <s v="Commented Video"/>
    <x v="0"/>
    <s v="what is indigree and out digree Account please tell me"/>
    <s v="UC33YvdKdCbETlDVRz_I42sw"/>
    <s v="Ikram Khan"/>
    <s v="http://www.youtube.com/channel/UC33YvdKdCbETlDVRz_I42sw"/>
    <m/>
    <s v="xKhYGRpbwOc"/>
    <s v="https://www.youtube.com/watch?v=xKhYGRpbwOc"/>
    <s v="none"/>
    <n v="0"/>
    <x v="144"/>
    <d v="2021-10-05T03:32:38.000"/>
    <m/>
    <m/>
    <s v=""/>
    <n v="1"/>
    <s v="6"/>
    <s v="6"/>
    <n v="0"/>
    <n v="0"/>
    <n v="0"/>
    <n v="0"/>
    <n v="0"/>
    <n v="0"/>
    <n v="10"/>
    <n v="100"/>
    <n v="10"/>
  </r>
  <r>
    <s v="UCMS61u_TGqi-c_UEhywFcQg"/>
    <s v="UCnrbbUoV6A2YP0tCJJfJSsg"/>
    <m/>
    <m/>
    <m/>
    <m/>
    <m/>
    <m/>
    <m/>
    <m/>
    <s v="No"/>
    <n v="148"/>
    <m/>
    <m/>
    <s v="Commented Video"/>
    <x v="0"/>
    <s v="FIRST."/>
    <s v="UCMS61u_TGqi-c_UEhywFcQg"/>
    <s v="nogribin"/>
    <s v="http://www.youtube.com/channel/UCMS61u_TGqi-c_UEhywFcQg"/>
    <m/>
    <s v="l0n5rKT0ztI"/>
    <s v="https://www.youtube.com/watch?v=l0n5rKT0ztI"/>
    <s v="none"/>
    <n v="1"/>
    <x v="145"/>
    <d v="2020-11-03T22:19:14.000"/>
    <m/>
    <m/>
    <s v=""/>
    <n v="1"/>
    <s v="4"/>
    <s v="4"/>
    <n v="0"/>
    <n v="0"/>
    <n v="0"/>
    <n v="0"/>
    <n v="0"/>
    <n v="0"/>
    <n v="1"/>
    <n v="100"/>
    <n v="1"/>
  </r>
  <r>
    <s v="UCeIJT2rmwfiwi5iuVCrorfQ"/>
    <s v="UCnrbbUoV6A2YP0tCJJfJSsg"/>
    <m/>
    <m/>
    <m/>
    <m/>
    <m/>
    <m/>
    <m/>
    <m/>
    <s v="No"/>
    <n v="149"/>
    <m/>
    <m/>
    <s v="Commented Video"/>
    <x v="0"/>
    <s v="Nice"/>
    <s v="UCeIJT2rmwfiwi5iuVCrorfQ"/>
    <s v="Pembudayaan Digital Pulau Pinang"/>
    <s v="http://www.youtube.com/channel/UCeIJT2rmwfiwi5iuVCrorfQ"/>
    <m/>
    <s v="l0n5rKT0ztI"/>
    <s v="https://www.youtube.com/watch?v=l0n5rKT0ztI"/>
    <s v="none"/>
    <n v="0"/>
    <x v="146"/>
    <d v="2020-12-03T14:38:14.000"/>
    <m/>
    <m/>
    <s v=""/>
    <n v="1"/>
    <s v="4"/>
    <s v="4"/>
    <n v="1"/>
    <n v="100"/>
    <n v="0"/>
    <n v="0"/>
    <n v="0"/>
    <n v="0"/>
    <n v="0"/>
    <n v="0"/>
    <n v="1"/>
  </r>
  <r>
    <s v="UCA3wy2ieu53FkBf19GeaSzw"/>
    <s v="UCnrbbUoV6A2YP0tCJJfJSsg"/>
    <m/>
    <m/>
    <m/>
    <m/>
    <m/>
    <m/>
    <m/>
    <m/>
    <s v="No"/>
    <n v="150"/>
    <m/>
    <m/>
    <s v="Commented Video"/>
    <x v="0"/>
    <s v="Can it instaled in macbook m1? Recomended spesification for laptop/ notebook to run it?"/>
    <s v="UCA3wy2ieu53FkBf19GeaSzw"/>
    <s v="imam riauan"/>
    <s v="http://www.youtube.com/channel/UCA3wy2ieu53FkBf19GeaSzw"/>
    <m/>
    <s v="l0n5rKT0ztI"/>
    <s v="https://www.youtube.com/watch?v=l0n5rKT0ztI"/>
    <s v="none"/>
    <n v="0"/>
    <x v="147"/>
    <d v="2022-03-22T00:30:11.000"/>
    <m/>
    <m/>
    <s v=""/>
    <n v="1"/>
    <s v="4"/>
    <s v="4"/>
    <n v="0"/>
    <n v="0"/>
    <n v="0"/>
    <n v="0"/>
    <n v="0"/>
    <n v="0"/>
    <n v="14"/>
    <n v="100"/>
    <n v="14"/>
  </r>
  <r>
    <s v="UCqdyyZiSL4ZHyXE11pNa-PQ"/>
    <s v="UClF3Q-_xtSxneYXZZIs3rtQ"/>
    <m/>
    <m/>
    <m/>
    <m/>
    <m/>
    <m/>
    <m/>
    <m/>
    <s v="No"/>
    <n v="151"/>
    <m/>
    <m/>
    <s v="Commented Video"/>
    <x v="0"/>
    <s v="مشكورين...."/>
    <s v="UCqdyyZiSL4ZHyXE11pNa-PQ"/>
    <s v="Najm Abed Khalaf Aleessawi"/>
    <s v="http://www.youtube.com/channel/UCqdyyZiSL4ZHyXE11pNa-PQ"/>
    <m/>
    <s v="o53sJ939r7A"/>
    <s v="https://www.youtube.com/watch?v=o53sJ939r7A"/>
    <s v="none"/>
    <n v="0"/>
    <x v="148"/>
    <d v="2020-07-01T20:04:29.000"/>
    <m/>
    <m/>
    <s v=""/>
    <n v="1"/>
    <s v="12"/>
    <s v="12"/>
    <n v="0"/>
    <n v="0"/>
    <n v="0"/>
    <n v="0"/>
    <n v="0"/>
    <n v="0"/>
    <n v="1"/>
    <n v="100"/>
    <n v="1"/>
  </r>
  <r>
    <s v="UCZCEX7jMFA4Utg6Rl9LjtpQ"/>
    <s v="UClF3Q-_xtSxneYXZZIs3rtQ"/>
    <m/>
    <m/>
    <m/>
    <m/>
    <m/>
    <m/>
    <m/>
    <m/>
    <s v="No"/>
    <n v="152"/>
    <m/>
    <m/>
    <s v="Commented Video"/>
    <x v="0"/>
    <s v="اسباب كل كلامك النظري غير التطبيقي والذي اضعتي فيه كثير من وقتنا .....حضرتك اما تسوي دعاية للبرنامج اللي ذكرتيه.....او بهرجه وعرض وكأنك داخله حمله انتخابيه ومحتاجه اصوات  لا بد من تطبيق عملي  حتى نستفيد"/>
    <s v="UCZCEX7jMFA4Utg6Rl9LjtpQ"/>
    <s v="المجلة العلمية"/>
    <s v="http://www.youtube.com/channel/UCZCEX7jMFA4Utg6Rl9LjtpQ"/>
    <m/>
    <s v="o53sJ939r7A"/>
    <s v="https://www.youtube.com/watch?v=o53sJ939r7A"/>
    <s v="none"/>
    <n v="0"/>
    <x v="149"/>
    <d v="2020-07-28T17:36:46.000"/>
    <m/>
    <m/>
    <s v=""/>
    <n v="1"/>
    <s v="12"/>
    <s v="12"/>
    <n v="0"/>
    <n v="0"/>
    <n v="0"/>
    <n v="0"/>
    <n v="0"/>
    <n v="0"/>
    <n v="35"/>
    <n v="100"/>
    <n v="35"/>
  </r>
  <r>
    <s v="UCXFnJs6JEY91BWkgElUiIig"/>
    <s v="UClF3Q-_xtSxneYXZZIs3rtQ"/>
    <m/>
    <m/>
    <m/>
    <m/>
    <m/>
    <m/>
    <m/>
    <m/>
    <s v="No"/>
    <n v="153"/>
    <m/>
    <m/>
    <s v="Commented Video"/>
    <x v="0"/>
    <s v="ممكن خاص او حسابك على تويتر كرما"/>
    <s v="UCXFnJs6JEY91BWkgElUiIig"/>
    <s v="a,o"/>
    <s v="http://www.youtube.com/channel/UCXFnJs6JEY91BWkgElUiIig"/>
    <m/>
    <s v="o53sJ939r7A"/>
    <s v="https://www.youtube.com/watch?v=o53sJ939r7A"/>
    <s v="none"/>
    <n v="0"/>
    <x v="150"/>
    <d v="2022-05-16T00:20:02.000"/>
    <m/>
    <m/>
    <s v=""/>
    <n v="1"/>
    <s v="12"/>
    <s v="12"/>
    <n v="0"/>
    <n v="0"/>
    <n v="0"/>
    <n v="0"/>
    <n v="0"/>
    <n v="0"/>
    <n v="7"/>
    <n v="100"/>
    <n v="7"/>
  </r>
  <r>
    <s v="UCerAw4EfTOnYYxLLPZAzMxQ"/>
    <s v="UCx3Xvg2G9MUra2f7eWrweGg"/>
    <m/>
    <m/>
    <m/>
    <m/>
    <m/>
    <m/>
    <m/>
    <m/>
    <s v="Yes"/>
    <n v="154"/>
    <m/>
    <m/>
    <s v="Replied Comment"/>
    <x v="1"/>
    <s v="Hi, Thanos, and thanks for writing.  Indeed, you can indeed fix the nodes according to any X/Y variable, which Longitude/Latitude is a particular instance of.  And if you right-click on the graph of your network, you can select &amp;quot;Graph Options,&amp;quot; and one of those graph options is to set a background image. "/>
    <s v="UCerAw4EfTOnYYxLLPZAzMxQ"/>
    <s v="James Cook"/>
    <s v="http://www.youtube.com/channel/UCerAw4EfTOnYYxLLPZAzMxQ"/>
    <s v="UggQYUbwQ53QkHgCoAEC"/>
    <s v="08MqGSL9TNQ"/>
    <s v="https://www.youtube.com/watch?v=08MqGSL9TNQ"/>
    <s v="none"/>
    <n v="0"/>
    <x v="151"/>
    <d v="2014-12-04T18:28:28.000"/>
    <m/>
    <m/>
    <s v=""/>
    <n v="1"/>
    <s v="1"/>
    <s v="1"/>
    <n v="1"/>
    <n v="1.7543859649122806"/>
    <n v="0"/>
    <n v="0"/>
    <n v="0"/>
    <n v="0"/>
    <n v="56"/>
    <n v="98.24561403508773"/>
    <n v="57"/>
  </r>
  <r>
    <s v="UCx3Xvg2G9MUra2f7eWrweGg"/>
    <s v="UCx3Xvg2G9MUra2f7eWrweGg"/>
    <m/>
    <m/>
    <m/>
    <m/>
    <m/>
    <m/>
    <m/>
    <m/>
    <s v="No"/>
    <n v="155"/>
    <m/>
    <m/>
    <s v="Replied Comment"/>
    <x v="1"/>
    <s v="Super! I did both. This software makes a very powerful tool for data visualization!. It is very easy to use and flexible. I&amp;#39;m really impressed!"/>
    <s v="UCx3Xvg2G9MUra2f7eWrweGg"/>
    <s v="Thanos Panagouleas"/>
    <s v="http://www.youtube.com/channel/UCx3Xvg2G9MUra2f7eWrweGg"/>
    <s v="UggQYUbwQ53QkHgCoAEC"/>
    <s v="08MqGSL9TNQ"/>
    <s v="https://www.youtube.com/watch?v=08MqGSL9TNQ"/>
    <s v="none"/>
    <n v="0"/>
    <x v="152"/>
    <d v="2014-12-08T11:00:48.000"/>
    <m/>
    <m/>
    <s v=""/>
    <n v="2"/>
    <s v="1"/>
    <s v="1"/>
    <n v="5"/>
    <n v="18.51851851851852"/>
    <n v="0"/>
    <n v="0"/>
    <n v="0"/>
    <n v="0"/>
    <n v="22"/>
    <n v="81.48148148148148"/>
    <n v="27"/>
  </r>
  <r>
    <s v="UCx3Xvg2G9MUra2f7eWrweGg"/>
    <s v="UCx3Xvg2G9MUra2f7eWrweGg"/>
    <m/>
    <m/>
    <m/>
    <m/>
    <m/>
    <m/>
    <m/>
    <m/>
    <s v="No"/>
    <n v="156"/>
    <m/>
    <m/>
    <s v="Replied Comment"/>
    <x v="1"/>
    <s v="Thank you!"/>
    <s v="UCx3Xvg2G9MUra2f7eWrweGg"/>
    <s v="Thanos Panagouleas"/>
    <s v="http://www.youtube.com/channel/UCx3Xvg2G9MUra2f7eWrweGg"/>
    <s v="UggQYUbwQ53QkHgCoAEC"/>
    <s v="08MqGSL9TNQ"/>
    <s v="https://www.youtube.com/watch?v=08MqGSL9TNQ"/>
    <s v="none"/>
    <n v="0"/>
    <x v="153"/>
    <d v="2014-12-08T11:01:00.000"/>
    <m/>
    <m/>
    <s v=""/>
    <n v="2"/>
    <s v="1"/>
    <s v="1"/>
    <n v="1"/>
    <n v="50"/>
    <n v="0"/>
    <n v="0"/>
    <n v="0"/>
    <n v="0"/>
    <n v="1"/>
    <n v="50"/>
    <n v="2"/>
  </r>
  <r>
    <s v="UCx3Xvg2G9MUra2f7eWrweGg"/>
    <s v="UCerAw4EfTOnYYxLLPZAzMxQ"/>
    <m/>
    <m/>
    <m/>
    <m/>
    <m/>
    <m/>
    <m/>
    <m/>
    <s v="Yes"/>
    <n v="157"/>
    <m/>
    <m/>
    <s v="Commented Video"/>
    <x v="0"/>
    <s v="Hi James. Thank you for the video. It is really goodE I have a couple of questions for you. I am looking for a free softwrare to visualise the material flow (transportation) of our goods withing the European map. I think from your presentation I can do everything I have in mind but I&amp;#39;m not sure about a couple of things:&lt;br&gt;&lt;br&gt;1) Can I &amp;#39;fix&amp;#39; the position of my nodes on 2-dimensional space (i.e. by inserting Longitude-Latitude)? I see that I can move the position of the nodes but this is one-by-one manually.&lt;br&gt;&lt;br&gt;2) Can I paste a background photo behind my network? In the past I have done the same using Scatterplots to draw points or simple lines over maps.&lt;br&gt;&lt;br&gt;In any case NodeXL is a good software to add in my arsenal :-)"/>
    <s v="UCx3Xvg2G9MUra2f7eWrweGg"/>
    <s v="Thanos Panagouleas"/>
    <s v="http://www.youtube.com/channel/UCx3Xvg2G9MUra2f7eWrweGg"/>
    <m/>
    <s v="08MqGSL9TNQ"/>
    <s v="https://www.youtube.com/watch?v=08MqGSL9TNQ"/>
    <s v="none"/>
    <n v="1"/>
    <x v="154"/>
    <d v="2014-12-04T15:30:29.000"/>
    <m/>
    <m/>
    <s v=""/>
    <n v="1"/>
    <s v="1"/>
    <s v="1"/>
    <n v="3"/>
    <n v="2.0134228187919465"/>
    <n v="0"/>
    <n v="0"/>
    <n v="0"/>
    <n v="0"/>
    <n v="146"/>
    <n v="97.98657718120805"/>
    <n v="149"/>
  </r>
  <r>
    <s v="UClHeEpe_QWW1jxCMatKCkzQ"/>
    <s v="UCerAw4EfTOnYYxLLPZAzMxQ"/>
    <m/>
    <m/>
    <m/>
    <m/>
    <m/>
    <m/>
    <m/>
    <m/>
    <s v="No"/>
    <n v="158"/>
    <m/>
    <m/>
    <s v="Commented Video"/>
    <x v="0"/>
    <s v="Hi what is the url for the assignment.&lt;br&gt;Do you have a powerpoint presentation as well. "/>
    <s v="UClHeEpe_QWW1jxCMatKCkzQ"/>
    <s v="Alexander Sharma"/>
    <s v="http://www.youtube.com/channel/UClHeEpe_QWW1jxCMatKCkzQ"/>
    <m/>
    <s v="08MqGSL9TNQ"/>
    <s v="https://www.youtube.com/watch?v=08MqGSL9TNQ"/>
    <s v="none"/>
    <n v="0"/>
    <x v="155"/>
    <d v="2015-02-14T23:16:49.000"/>
    <m/>
    <m/>
    <s v=""/>
    <n v="1"/>
    <s v="1"/>
    <s v="1"/>
    <n v="1"/>
    <n v="5.882352941176471"/>
    <n v="0"/>
    <n v="0"/>
    <n v="0"/>
    <n v="0"/>
    <n v="16"/>
    <n v="94.11764705882354"/>
    <n v="17"/>
  </r>
  <r>
    <s v="UCerAw4EfTOnYYxLLPZAzMxQ"/>
    <s v="UC6xUcpewcYKMIvXWC39bu9A"/>
    <m/>
    <m/>
    <m/>
    <m/>
    <m/>
    <m/>
    <m/>
    <m/>
    <s v="Yes"/>
    <n v="159"/>
    <m/>
    <m/>
    <s v="Replied Comment"/>
    <x v="1"/>
    <s v="@TheRaph75 Good question, and yes, there is!  First, set different attributes for the vertices you want to group in the &amp;quot;Other Columns&amp;quot; area of the NodeXL spreadsheet.  Then, select Groups --&amp;gt; Group by Vertex Attribute in the &amp;quot;Analysis&amp;quot; portion of the toolbar on top.  For more info on this, I recommend Analyzing Social Media Networks with NodeXL, a book from the folks who wrote the software.  &lt;a href=&quot;http://www.amazon.com/Analyzing-Social-Media-Networks-NodeXL/dp/0123822297&quot;&gt;http://www.amazon.com/Analyzing-Social-Media-Networks-NodeXL/dp/0123822297&lt;/a&gt;"/>
    <s v="UCerAw4EfTOnYYxLLPZAzMxQ"/>
    <s v="James Cook"/>
    <s v="http://www.youtube.com/channel/UCerAw4EfTOnYYxLLPZAzMxQ"/>
    <s v="Ugg5GL5eGQVeDHgCoAEC"/>
    <s v="08MqGSL9TNQ"/>
    <s v="https://www.youtube.com/watch?v=08MqGSL9TNQ"/>
    <s v="none"/>
    <n v="0"/>
    <x v="156"/>
    <d v="2015-04-20T12:34:53.000"/>
    <s v=" http://www.amazon.com/Analyzing-Social-Media-Networks-NodeXL/dp/0123822297 http://www.amazon.com/Analyzing-Social-Media-Networks-NodeXL/dp/0123822297"/>
    <s v="amazon.com amazon.com"/>
    <s v=""/>
    <n v="1"/>
    <s v="1"/>
    <s v="1"/>
    <n v="3"/>
    <n v="3.1578947368421053"/>
    <n v="0"/>
    <n v="0"/>
    <n v="0"/>
    <n v="0"/>
    <n v="92"/>
    <n v="96.84210526315789"/>
    <n v="95"/>
  </r>
  <r>
    <s v="UC6xUcpewcYKMIvXWC39bu9A"/>
    <s v="UC6xUcpewcYKMIvXWC39bu9A"/>
    <m/>
    <m/>
    <m/>
    <m/>
    <m/>
    <m/>
    <m/>
    <m/>
    <s v="No"/>
    <n v="160"/>
    <m/>
    <m/>
    <s v="Replied Comment"/>
    <x v="1"/>
    <s v="@James Cook Thank you for your very quick answer, really appreciated. Just tested it, works very well. Now I have to finetune the layout, but you gave me the right directions :-) Many thanks for your help, i&amp;#39;ll check out the book too! Wish you a nice day professor :-) "/>
    <s v="UC6xUcpewcYKMIvXWC39bu9A"/>
    <s v="TheRaph75"/>
    <s v="http://www.youtube.com/channel/UC6xUcpewcYKMIvXWC39bu9A"/>
    <s v="Ugg5GL5eGQVeDHgCoAEC"/>
    <s v="08MqGSL9TNQ"/>
    <s v="https://www.youtube.com/watch?v=08MqGSL9TNQ"/>
    <s v="none"/>
    <n v="0"/>
    <x v="157"/>
    <d v="2015-04-20T14:00:22.000"/>
    <m/>
    <m/>
    <s v=""/>
    <n v="1"/>
    <s v="1"/>
    <s v="1"/>
    <n v="6"/>
    <n v="12"/>
    <n v="0"/>
    <n v="0"/>
    <n v="0"/>
    <n v="0"/>
    <n v="44"/>
    <n v="88"/>
    <n v="50"/>
  </r>
  <r>
    <s v="UC6xUcpewcYKMIvXWC39bu9A"/>
    <s v="UCerAw4EfTOnYYxLLPZAzMxQ"/>
    <m/>
    <m/>
    <m/>
    <m/>
    <m/>
    <m/>
    <m/>
    <m/>
    <s v="Yes"/>
    <n v="161"/>
    <m/>
    <m/>
    <s v="Commented Video"/>
    <x v="0"/>
    <s v="Good morning professor Cook. I&amp;#39;m a professional IT employée and found NodeXL a few days ago. Your tutorials are very helpful and easely understandable! I&amp;#39;m still struggeling with one point (maybe I missed it somewhere or just didn&amp;#39;t understood it well). Is there a possibility to group graphically vertices into &amp;quot;predefined&amp;quot; groups? For a stupid and simple axample, let&amp;#39;s say i have 6 vertices: A1, A2, A3, and B1, B2, B3. Let&amp;#39;s say there are links between &amp;#39;em, but the question and problem is: can I define manually and graphically two &amp;#39;bubbles&amp;#39;, one which englobes all A vertices and another defined group &amp;#39;bubble&amp;#39; which envelopes all B vertices?!  And if yes, of course, would you be so kind and redirect me to any writte explanation on how to do so? Hope my question was clear enough, as English isn&amp;#39;t my native language, so, pardon me the few mistakes. Thanks in advance, best regards."/>
    <s v="UC6xUcpewcYKMIvXWC39bu9A"/>
    <s v="TheRaph75"/>
    <s v="http://www.youtube.com/channel/UC6xUcpewcYKMIvXWC39bu9A"/>
    <m/>
    <s v="08MqGSL9TNQ"/>
    <s v="https://www.youtube.com/watch?v=08MqGSL9TNQ"/>
    <s v="none"/>
    <n v="0"/>
    <x v="158"/>
    <d v="2015-04-20T09:19:50.000"/>
    <m/>
    <m/>
    <s v=""/>
    <n v="1"/>
    <s v="1"/>
    <s v="1"/>
    <n v="8"/>
    <n v="4.651162790697675"/>
    <n v="4"/>
    <n v="2.3255813953488373"/>
    <n v="0"/>
    <n v="0"/>
    <n v="160"/>
    <n v="93.02325581395348"/>
    <n v="172"/>
  </r>
  <r>
    <s v="UC9jGt1X3J14c5GAeAO8EDvQ"/>
    <s v="UCerAw4EfTOnYYxLLPZAzMxQ"/>
    <m/>
    <m/>
    <m/>
    <m/>
    <m/>
    <m/>
    <m/>
    <m/>
    <s v="No"/>
    <n v="162"/>
    <m/>
    <m/>
    <s v="Commented Video"/>
    <x v="0"/>
    <s v="Excellent practicum. Combined with a couple of hours of theory this should take the novice from &amp;quot;no-nothing&amp;quot; to &amp;quot;enough-to-be-dangerous&amp;quot;. Thanks for posting this to a public forum."/>
    <s v="UC9jGt1X3J14c5GAeAO8EDvQ"/>
    <s v="James Strawn"/>
    <s v="http://www.youtube.com/channel/UC9jGt1X3J14c5GAeAO8EDvQ"/>
    <m/>
    <s v="08MqGSL9TNQ"/>
    <s v="https://www.youtube.com/watch?v=08MqGSL9TNQ"/>
    <s v="none"/>
    <n v="0"/>
    <x v="159"/>
    <d v="2015-08-27T18:51:15.000"/>
    <m/>
    <m/>
    <s v=""/>
    <n v="1"/>
    <s v="1"/>
    <s v="1"/>
    <n v="2"/>
    <n v="5.714285714285714"/>
    <n v="1"/>
    <n v="2.857142857142857"/>
    <n v="0"/>
    <n v="0"/>
    <n v="32"/>
    <n v="91.42857142857143"/>
    <n v="35"/>
  </r>
  <r>
    <s v="UCA4upGBl9EGqYOrMkBRxIUg"/>
    <s v="UCerAw4EfTOnYYxLLPZAzMxQ"/>
    <m/>
    <m/>
    <m/>
    <m/>
    <m/>
    <m/>
    <m/>
    <m/>
    <s v="No"/>
    <n v="163"/>
    <m/>
    <m/>
    <s v="Commented Video"/>
    <x v="0"/>
    <s v="Excellent tutorial. I am new to NodeXL and want to do a SNA on some historical figures from the Antiquity. Your video will assist me immensely. Thank you."/>
    <s v="UCA4upGBl9EGqYOrMkBRxIUg"/>
    <s v="OdiProfanumVulgus"/>
    <s v="http://www.youtube.com/channel/UCA4upGBl9EGqYOrMkBRxIUg"/>
    <m/>
    <s v="08MqGSL9TNQ"/>
    <s v="https://www.youtube.com/watch?v=08MqGSL9TNQ"/>
    <s v="none"/>
    <n v="0"/>
    <x v="160"/>
    <d v="2015-10-03T19:03:08.000"/>
    <m/>
    <m/>
    <s v=""/>
    <n v="1"/>
    <s v="1"/>
    <s v="1"/>
    <n v="2"/>
    <n v="7.142857142857143"/>
    <n v="0"/>
    <n v="0"/>
    <n v="0"/>
    <n v="0"/>
    <n v="26"/>
    <n v="92.85714285714286"/>
    <n v="28"/>
  </r>
  <r>
    <s v="UCRaAPyppJGU5Yds5lDDlb1Q"/>
    <s v="UCerAw4EfTOnYYxLLPZAzMxQ"/>
    <m/>
    <m/>
    <m/>
    <m/>
    <m/>
    <m/>
    <m/>
    <m/>
    <s v="No"/>
    <n v="164"/>
    <m/>
    <m/>
    <s v="Commented Video"/>
    <x v="0"/>
    <s v="Thank you so much! So clear - I managed to get a start finally!"/>
    <s v="UCRaAPyppJGU5Yds5lDDlb1Q"/>
    <s v="Elena Kochetkova"/>
    <s v="http://www.youtube.com/channel/UCRaAPyppJGU5Yds5lDDlb1Q"/>
    <m/>
    <s v="08MqGSL9TNQ"/>
    <s v="https://www.youtube.com/watch?v=08MqGSL9TNQ"/>
    <s v="none"/>
    <n v="0"/>
    <x v="161"/>
    <d v="2016-05-31T01:40:59.000"/>
    <m/>
    <m/>
    <s v=""/>
    <n v="1"/>
    <s v="1"/>
    <s v="1"/>
    <n v="2"/>
    <n v="15.384615384615385"/>
    <n v="0"/>
    <n v="0"/>
    <n v="0"/>
    <n v="0"/>
    <n v="11"/>
    <n v="84.61538461538461"/>
    <n v="13"/>
  </r>
  <r>
    <s v="UCV6YNtkIq41tS1aUynMnoTw"/>
    <s v="UCerAw4EfTOnYYxLLPZAzMxQ"/>
    <m/>
    <m/>
    <m/>
    <m/>
    <m/>
    <m/>
    <m/>
    <m/>
    <s v="No"/>
    <n v="165"/>
    <m/>
    <m/>
    <s v="Commented Video"/>
    <x v="0"/>
    <s v="Thanks a bunch!!!"/>
    <s v="UCV6YNtkIq41tS1aUynMnoTw"/>
    <s v="Sonic-Fan-Play"/>
    <s v="http://www.youtube.com/channel/UCV6YNtkIq41tS1aUynMnoTw"/>
    <m/>
    <s v="08MqGSL9TNQ"/>
    <s v="https://www.youtube.com/watch?v=08MqGSL9TNQ"/>
    <s v="none"/>
    <n v="0"/>
    <x v="162"/>
    <d v="2021-03-04T20:33:08.000"/>
    <m/>
    <m/>
    <s v=""/>
    <n v="1"/>
    <s v="1"/>
    <s v="1"/>
    <n v="0"/>
    <n v="0"/>
    <n v="0"/>
    <n v="0"/>
    <n v="0"/>
    <n v="0"/>
    <n v="3"/>
    <n v="100"/>
    <n v="3"/>
  </r>
  <r>
    <s v="UCV5NmnIggBXfHNRqsqYBPHg"/>
    <s v="UCerAw4EfTOnYYxLLPZAzMxQ"/>
    <m/>
    <m/>
    <m/>
    <m/>
    <m/>
    <m/>
    <m/>
    <m/>
    <s v="No"/>
    <n v="166"/>
    <m/>
    <m/>
    <s v="Commented Video"/>
    <x v="0"/>
    <s v="This is very helpful! I am new to exploring SNA and this is an excellent tutorial. Thank you."/>
    <s v="UCV5NmnIggBXfHNRqsqYBPHg"/>
    <s v="Leset"/>
    <s v="http://www.youtube.com/channel/UCV5NmnIggBXfHNRqsqYBPHg"/>
    <m/>
    <s v="08MqGSL9TNQ"/>
    <s v="https://www.youtube.com/watch?v=08MqGSL9TNQ"/>
    <s v="none"/>
    <n v="0"/>
    <x v="163"/>
    <d v="2022-04-10T05:15:50.000"/>
    <m/>
    <m/>
    <s v=""/>
    <n v="1"/>
    <s v="1"/>
    <s v="1"/>
    <n v="3"/>
    <n v="16.666666666666668"/>
    <n v="0"/>
    <n v="0"/>
    <n v="0"/>
    <n v="0"/>
    <n v="15"/>
    <n v="83.33333333333333"/>
    <n v="18"/>
  </r>
  <r>
    <s v="UChkL5Lh3Dn5xtgmO7QrjuDw"/>
    <s v="UCuTRD7EkeDxVFdkdziqGAWA"/>
    <m/>
    <m/>
    <m/>
    <m/>
    <m/>
    <m/>
    <m/>
    <m/>
    <s v="No"/>
    <n v="167"/>
    <m/>
    <m/>
    <s v="Replied Comment"/>
    <x v="1"/>
    <s v="@Derek Caelin Hello! Thank you for this really helpful video! Please, are you sure that NodeXL still can be used with Facebook ? Their website says otherwise, I don&amp;#39;t want to purchase their program if it doesn&amp;#39;t work with Facebook. Thank you again!"/>
    <s v="UChkL5Lh3Dn5xtgmO7QrjuDw"/>
    <s v="Sarah Tabit"/>
    <s v="http://www.youtube.com/channel/UChkL5Lh3Dn5xtgmO7QrjuDw"/>
    <s v="Ugx7BTPhMCHHGhNpJ-F4AaABAg"/>
    <s v="THdrju-UWjo"/>
    <s v="https://www.youtube.com/watch?v=THdrju-UWjo"/>
    <s v="none"/>
    <n v="0"/>
    <x v="164"/>
    <d v="2021-10-06T21:26:35.000"/>
    <m/>
    <m/>
    <s v=""/>
    <n v="1"/>
    <s v="4"/>
    <s v="4"/>
    <n v="4"/>
    <n v="8.695652173913043"/>
    <n v="0"/>
    <n v="0"/>
    <n v="0"/>
    <n v="0"/>
    <n v="42"/>
    <n v="91.30434782608695"/>
    <n v="46"/>
  </r>
  <r>
    <s v="UCT2t7sQp0Qyi9dxuckjOWAw"/>
    <s v="UCuTRD7EkeDxVFdkdziqGAWA"/>
    <m/>
    <m/>
    <m/>
    <m/>
    <m/>
    <m/>
    <m/>
    <m/>
    <s v="Yes"/>
    <n v="168"/>
    <m/>
    <m/>
    <s v="Replied Comment"/>
    <x v="1"/>
    <s v="Hola Socorro muy buenos dias . No conozco ninguna herramienta externa que mida audiencias de facebook , hay algunas que muestran las mismas analiticas con mascaras que te dejan ver mas facilmente la data, pero  como imaginas son muy costosas  como ejemplo te pongo la plataforma MadGicx y talkwaker"/>
    <s v="UCT2t7sQp0Qyi9dxuckjOWAw"/>
    <s v="Vivian Francos #SeoHashtag Posiciona tu Hashtag"/>
    <s v="http://www.youtube.com/channel/UCT2t7sQp0Qyi9dxuckjOWAw"/>
    <s v="UgzhlFPwcgyhRwrtmn94AaABAg"/>
    <s v="3s6qbWY07FI"/>
    <s v="https://www.youtube.com/watch?v=3s6qbWY07FI"/>
    <s v="none"/>
    <n v="2"/>
    <x v="165"/>
    <d v="2021-07-22T07:48:04.000"/>
    <m/>
    <m/>
    <s v=""/>
    <n v="1"/>
    <s v="4"/>
    <s v="4"/>
    <n v="0"/>
    <n v="0"/>
    <n v="0"/>
    <n v="0"/>
    <n v="0"/>
    <n v="0"/>
    <n v="47"/>
    <n v="100"/>
    <n v="47"/>
  </r>
  <r>
    <s v="UCuTRD7EkeDxVFdkdziqGAWA"/>
    <s v="UCT2t7sQp0Qyi9dxuckjOWAw"/>
    <m/>
    <m/>
    <m/>
    <m/>
    <m/>
    <m/>
    <m/>
    <m/>
    <s v="Yes"/>
    <n v="169"/>
    <m/>
    <m/>
    <s v="Commented Video"/>
    <x v="0"/>
    <s v="Gracias por compartir. Me gustaría saber si con esta herramienta puedo analizar redes en Facebook o ¿qué herramienta puedo usar para analizar esa red social?"/>
    <s v="UCuTRD7EkeDxVFdkdziqGAWA"/>
    <s v="Socorro López Vázquez"/>
    <s v="http://www.youtube.com/channel/UCuTRD7EkeDxVFdkdziqGAWA"/>
    <m/>
    <s v="3s6qbWY07FI"/>
    <s v="https://www.youtube.com/watch?v=3s6qbWY07FI"/>
    <s v="none"/>
    <n v="1"/>
    <x v="166"/>
    <d v="2021-07-22T06:57:40.000"/>
    <m/>
    <m/>
    <s v=""/>
    <n v="1"/>
    <s v="4"/>
    <s v="4"/>
    <n v="0"/>
    <n v="0"/>
    <n v="0"/>
    <n v="0"/>
    <n v="0"/>
    <n v="0"/>
    <n v="25"/>
    <n v="100"/>
    <n v="25"/>
  </r>
  <r>
    <s v="UCuyDUN7SDHJd3-UQhX69A9w"/>
    <s v="UCuTRD7EkeDxVFdkdziqGAWA"/>
    <m/>
    <m/>
    <m/>
    <m/>
    <m/>
    <m/>
    <m/>
    <m/>
    <s v="Yes"/>
    <n v="170"/>
    <m/>
    <m/>
    <s v="Replied Comment"/>
    <x v="1"/>
    <s v="Yes - it works with your personal network, public groups, and the groups you belong to."/>
    <s v="UCuyDUN7SDHJd3-UQhX69A9w"/>
    <s v="Derek Caelin"/>
    <s v="http://www.youtube.com/channel/UCuyDUN7SDHJd3-UQhX69A9w"/>
    <s v="Ugx7BTPhMCHHGhNpJ-F4AaABAg"/>
    <s v="THdrju-UWjo"/>
    <s v="https://www.youtube.com/watch?v=THdrju-UWjo"/>
    <s v="none"/>
    <n v="0"/>
    <x v="167"/>
    <d v="2021-08-06T17:31:07.000"/>
    <m/>
    <m/>
    <s v=""/>
    <n v="2"/>
    <s v="4"/>
    <s v="4"/>
    <n v="1"/>
    <n v="6.666666666666667"/>
    <n v="0"/>
    <n v="0"/>
    <n v="0"/>
    <n v="0"/>
    <n v="14"/>
    <n v="93.33333333333333"/>
    <n v="15"/>
  </r>
  <r>
    <s v="UCuyDUN7SDHJd3-UQhX69A9w"/>
    <s v="UCuTRD7EkeDxVFdkdziqGAWA"/>
    <m/>
    <m/>
    <m/>
    <m/>
    <m/>
    <m/>
    <m/>
    <m/>
    <s v="Yes"/>
    <n v="171"/>
    <m/>
    <m/>
    <s v="Replied Comment"/>
    <x v="1"/>
    <s v="@Sarah Tabit I hear that - just deleted my account. it looks like Facebook is no longer supported: &lt;a href=&quot;https://www.smrfoundation.org/2019/09/05/nodexl-pro-facebook-data-importers-no-longer-functional/&quot;&gt;https://www.smrfoundation.org/2019/09/05/nodexl-pro-facebook-data-importers-no-longer-functional/&lt;/a&gt;"/>
    <s v="UCuyDUN7SDHJd3-UQhX69A9w"/>
    <s v="Derek Caelin"/>
    <s v="http://www.youtube.com/channel/UCuyDUN7SDHJd3-UQhX69A9w"/>
    <s v="Ugx7BTPhMCHHGhNpJ-F4AaABAg"/>
    <s v="THdrju-UWjo"/>
    <s v="https://www.youtube.com/watch?v=THdrju-UWjo"/>
    <s v="none"/>
    <n v="0"/>
    <x v="168"/>
    <d v="2021-10-06T21:31:44.000"/>
    <s v=" https://www.smrfoundation.org/2019/09/05/nodexl-pro-facebook-data-importers-no-longer-functional/ https://www.smrfoundation.org/2019/09/05/nodexl-pro-facebook-data-importers-no-longer-functional/"/>
    <s v="smrfoundation.org smrfoundation.org"/>
    <s v=""/>
    <n v="2"/>
    <s v="4"/>
    <s v="4"/>
    <n v="2"/>
    <n v="4"/>
    <n v="0"/>
    <n v="0"/>
    <n v="0"/>
    <n v="0"/>
    <n v="48"/>
    <n v="96"/>
    <n v="50"/>
  </r>
  <r>
    <s v="UCuTRD7EkeDxVFdkdziqGAWA"/>
    <s v="UCuyDUN7SDHJd3-UQhX69A9w"/>
    <m/>
    <m/>
    <m/>
    <m/>
    <m/>
    <m/>
    <m/>
    <m/>
    <s v="Yes"/>
    <n v="172"/>
    <m/>
    <m/>
    <s v="Commented Video"/>
    <x v="0"/>
    <s v="Hello. Can I use NodeXL to analyze social media networks on Facebook?"/>
    <s v="UCuTRD7EkeDxVFdkdziqGAWA"/>
    <s v="Socorro López Vázquez"/>
    <s v="http://www.youtube.com/channel/UCuTRD7EkeDxVFdkdziqGAWA"/>
    <m/>
    <s v="THdrju-UWjo"/>
    <s v="https://www.youtube.com/watch?v=THdrju-UWjo"/>
    <s v="none"/>
    <n v="1"/>
    <x v="169"/>
    <d v="2021-07-22T06:55:01.000"/>
    <m/>
    <m/>
    <s v=""/>
    <n v="1"/>
    <s v="4"/>
    <s v="4"/>
    <n v="0"/>
    <n v="0"/>
    <n v="0"/>
    <n v="0"/>
    <n v="0"/>
    <n v="0"/>
    <n v="12"/>
    <n v="100"/>
    <n v="12"/>
  </r>
  <r>
    <s v="UCJ7JJfGzhW5TZX5Pbsp6XyQ"/>
    <s v="UCuyDUN7SDHJd3-UQhX69A9w"/>
    <m/>
    <m/>
    <m/>
    <m/>
    <m/>
    <m/>
    <m/>
    <m/>
    <s v="No"/>
    <n v="173"/>
    <m/>
    <m/>
    <s v="Commented Video"/>
    <x v="0"/>
    <s v="Hello Derek! Thank you for the video. It is really easy to follow and extremely useful."/>
    <s v="UCJ7JJfGzhW5TZX5Pbsp6XyQ"/>
    <s v="Ella S Prihatini"/>
    <s v="http://www.youtube.com/channel/UCJ7JJfGzhW5TZX5Pbsp6XyQ"/>
    <m/>
    <s v="THdrju-UWjo"/>
    <s v="https://www.youtube.com/watch?v=THdrju-UWjo"/>
    <s v="none"/>
    <n v="2"/>
    <x v="170"/>
    <d v="2022-01-07T06:42:18.000"/>
    <m/>
    <m/>
    <s v=""/>
    <n v="1"/>
    <s v="4"/>
    <s v="4"/>
    <n v="3"/>
    <n v="18.75"/>
    <n v="0"/>
    <n v="0"/>
    <n v="0"/>
    <n v="0"/>
    <n v="13"/>
    <n v="81.25"/>
    <n v="16"/>
  </r>
  <r>
    <s v="UCBG9ELVWsYR8H8WS_KGQufQ"/>
    <s v="UCuyDUN7SDHJd3-UQhX69A9w"/>
    <m/>
    <m/>
    <m/>
    <m/>
    <m/>
    <m/>
    <m/>
    <m/>
    <s v="No"/>
    <n v="174"/>
    <m/>
    <m/>
    <s v="Commented Video"/>
    <x v="0"/>
    <s v="wonderful insightful and absolutely amazing :O :O"/>
    <s v="UCBG9ELVWsYR8H8WS_KGQufQ"/>
    <s v="Ahmed Ashour"/>
    <s v="http://www.youtube.com/channel/UCBG9ELVWsYR8H8WS_KGQufQ"/>
    <m/>
    <s v="THdrju-UWjo"/>
    <s v="https://www.youtube.com/watch?v=THdrju-UWjo"/>
    <s v="none"/>
    <n v="0"/>
    <x v="171"/>
    <d v="2022-01-13T12:03:27.000"/>
    <m/>
    <m/>
    <s v=""/>
    <n v="1"/>
    <s v="4"/>
    <s v="4"/>
    <n v="3"/>
    <n v="42.857142857142854"/>
    <n v="0"/>
    <n v="0"/>
    <n v="0"/>
    <n v="0"/>
    <n v="4"/>
    <n v="57.142857142857146"/>
    <n v="7"/>
  </r>
  <r>
    <s v="UCEPBRv8fyf8zIR1gzyGn8qg"/>
    <s v="UCuyDUN7SDHJd3-UQhX69A9w"/>
    <m/>
    <m/>
    <m/>
    <m/>
    <m/>
    <m/>
    <m/>
    <m/>
    <s v="No"/>
    <n v="175"/>
    <m/>
    <m/>
    <s v="Commented Video"/>
    <x v="0"/>
    <s v="Thank you Derek! Very intresting and cool use of these 2 sofware!"/>
    <s v="UCEPBRv8fyf8zIR1gzyGn8qg"/>
    <s v="Antonio Alifano"/>
    <s v="http://www.youtube.com/channel/UCEPBRv8fyf8zIR1gzyGn8qg"/>
    <m/>
    <s v="THdrju-UWjo"/>
    <s v="https://www.youtube.com/watch?v=THdrju-UWjo"/>
    <s v="none"/>
    <n v="1"/>
    <x v="172"/>
    <d v="2022-04-12T16:50:12.000"/>
    <m/>
    <m/>
    <s v=""/>
    <n v="1"/>
    <s v="4"/>
    <s v="4"/>
    <n v="2"/>
    <n v="16.666666666666668"/>
    <n v="0"/>
    <n v="0"/>
    <n v="0"/>
    <n v="0"/>
    <n v="10"/>
    <n v="83.33333333333333"/>
    <n v="12"/>
  </r>
  <r>
    <s v="UC4rU9PYja99OHl9qHrP0llQ"/>
    <s v="UCerAw4EfTOnYYxLLPZAzMxQ"/>
    <m/>
    <m/>
    <m/>
    <m/>
    <m/>
    <m/>
    <m/>
    <m/>
    <s v="No"/>
    <n v="176"/>
    <m/>
    <m/>
    <s v="Commented Video"/>
    <x v="0"/>
    <s v="Thank you so much for sharing!"/>
    <s v="UC4rU9PYja99OHl9qHrP0llQ"/>
    <s v="Selma Bonifacio"/>
    <s v="http://www.youtube.com/channel/UC4rU9PYja99OHl9qHrP0llQ"/>
    <m/>
    <s v="Gs4NPuKIXdo"/>
    <s v="https://www.youtube.com/watch?v=Gs4NPuKIXdo"/>
    <s v="none"/>
    <n v="0"/>
    <x v="173"/>
    <d v="2018-02-27T15:29:57.000"/>
    <m/>
    <m/>
    <s v=""/>
    <n v="1"/>
    <s v="1"/>
    <s v="1"/>
    <n v="1"/>
    <n v="16.666666666666668"/>
    <n v="0"/>
    <n v="0"/>
    <n v="0"/>
    <n v="0"/>
    <n v="5"/>
    <n v="83.33333333333333"/>
    <n v="6"/>
  </r>
  <r>
    <s v="UCybalFNVaTrZPHp-_cPGb8Q"/>
    <s v="UCerAw4EfTOnYYxLLPZAzMxQ"/>
    <m/>
    <m/>
    <m/>
    <m/>
    <m/>
    <m/>
    <m/>
    <m/>
    <s v="No"/>
    <n v="177"/>
    <m/>
    <m/>
    <s v="Commented Video"/>
    <x v="0"/>
    <s v="this link does not work anymore what do I do?"/>
    <s v="UCybalFNVaTrZPHp-_cPGb8Q"/>
    <s v="sank raf"/>
    <s v="http://www.youtube.com/channel/UCybalFNVaTrZPHp-_cPGb8Q"/>
    <m/>
    <s v="Gs4NPuKIXdo"/>
    <s v="https://www.youtube.com/watch?v=Gs4NPuKIXdo"/>
    <s v="none"/>
    <n v="0"/>
    <x v="174"/>
    <d v="2018-04-10T00:20:37.000"/>
    <m/>
    <m/>
    <s v=""/>
    <n v="1"/>
    <s v="1"/>
    <s v="1"/>
    <n v="1"/>
    <n v="10"/>
    <n v="0"/>
    <n v="0"/>
    <n v="0"/>
    <n v="0"/>
    <n v="9"/>
    <n v="90"/>
    <n v="10"/>
  </r>
  <r>
    <s v="UC_8SF2yDQfYFS_B66zwsdDw"/>
    <s v="UCVTt3IPhlNu2cae9QyIFZHg"/>
    <m/>
    <m/>
    <m/>
    <m/>
    <m/>
    <m/>
    <m/>
    <m/>
    <s v="No"/>
    <n v="178"/>
    <m/>
    <m/>
    <s v="Replied Comment"/>
    <x v="1"/>
    <s v="@James Cook Hi, I&amp;#39;m onto the new link already. However, I couldn&amp;#39;t find either download or install button. Do you have any suggestion ?"/>
    <s v="UC_8SF2yDQfYFS_B66zwsdDw"/>
    <s v="Lilo Nguyen"/>
    <s v="http://www.youtube.com/channel/UC_8SF2yDQfYFS_B66zwsdDw"/>
    <s v="Ugxpp9q7RY6dIqFJpKd4AaABAg"/>
    <s v="Gs4NPuKIXdo"/>
    <s v="https://www.youtube.com/watch?v=Gs4NPuKIXdo"/>
    <s v="none"/>
    <n v="0"/>
    <x v="175"/>
    <d v="2019-04-21T17:17:55.000"/>
    <m/>
    <m/>
    <s v=""/>
    <n v="1"/>
    <s v="1"/>
    <s v="1"/>
    <n v="0"/>
    <n v="0"/>
    <n v="0"/>
    <n v="0"/>
    <n v="0"/>
    <n v="0"/>
    <n v="27"/>
    <n v="100"/>
    <n v="27"/>
  </r>
  <r>
    <s v="UCerAw4EfTOnYYxLLPZAzMxQ"/>
    <s v="UCVTt3IPhlNu2cae9QyIFZHg"/>
    <m/>
    <m/>
    <m/>
    <m/>
    <m/>
    <m/>
    <m/>
    <m/>
    <s v="Yes"/>
    <n v="179"/>
    <m/>
    <m/>
    <s v="Replied Comment"/>
    <x v="1"/>
    <s v="Hello.  Yes; it&amp;#39;s changed since the video has been shot.   Try &lt;a href=&quot;https://www.smrfoundation.org/nodexl/installation/&quot;&gt;https://www.smrfoundation.org/nodexl/installation/&lt;/a&gt; for downloads and installation instructions."/>
    <s v="UCerAw4EfTOnYYxLLPZAzMxQ"/>
    <s v="James Cook"/>
    <s v="http://www.youtube.com/channel/UCerAw4EfTOnYYxLLPZAzMxQ"/>
    <s v="Ugxpp9q7RY6dIqFJpKd4AaABAg"/>
    <s v="Gs4NPuKIXdo"/>
    <s v="https://www.youtube.com/watch?v=Gs4NPuKIXdo"/>
    <s v="none"/>
    <n v="0"/>
    <x v="176"/>
    <d v="2018-12-03T15:04:14.000"/>
    <s v=" https://www.smrfoundation.org/nodexl/installation/ https://www.smrfoundation.org/nodexl/installation/"/>
    <s v="smrfoundation.org smrfoundation.org"/>
    <s v=""/>
    <n v="2"/>
    <s v="1"/>
    <s v="1"/>
    <n v="0"/>
    <n v="0"/>
    <n v="0"/>
    <n v="0"/>
    <n v="0"/>
    <n v="0"/>
    <n v="33"/>
    <n v="100"/>
    <n v="33"/>
  </r>
  <r>
    <s v="UCerAw4EfTOnYYxLLPZAzMxQ"/>
    <s v="UCVTt3IPhlNu2cae9QyIFZHg"/>
    <m/>
    <m/>
    <m/>
    <m/>
    <m/>
    <m/>
    <m/>
    <m/>
    <s v="Yes"/>
    <n v="180"/>
    <m/>
    <m/>
    <s v="Replied Comment"/>
    <x v="1"/>
    <s v="@Lilo Nguyen Hi, Lily Red. The &lt;a href=&quot;http://smrfoundation.org/&quot;&gt;smrfoundation.org&lt;/a&gt; link below has a text link that leads to this page: &lt;a href=&quot;https://nodexlgraphgallery.org/Pages/registration.asp&quot;&gt;https://nodexlgraphgallery.org/Pages/registration.asp&lt;/a&gt; . Hope that&amp;#39;s helpful."/>
    <s v="UCerAw4EfTOnYYxLLPZAzMxQ"/>
    <s v="James Cook"/>
    <s v="http://www.youtube.com/channel/UCerAw4EfTOnYYxLLPZAzMxQ"/>
    <s v="Ugxpp9q7RY6dIqFJpKd4AaABAg"/>
    <s v="Gs4NPuKIXdo"/>
    <s v="https://www.youtube.com/watch?v=Gs4NPuKIXdo"/>
    <s v="none"/>
    <n v="0"/>
    <x v="177"/>
    <d v="2019-04-21T20:58:42.000"/>
    <s v=" http://smrfoundation.org/ https://nodexlgraphgallery.org/Pages/registration.asp https://nodexlgraphgallery.org/Pages/registration.asp"/>
    <s v="smrfoundation.org nodexlgraphgallery.org nodexlgraphgallery.org"/>
    <s v=""/>
    <n v="2"/>
    <s v="1"/>
    <s v="1"/>
    <n v="2"/>
    <n v="4.444444444444445"/>
    <n v="0"/>
    <n v="0"/>
    <n v="0"/>
    <n v="0"/>
    <n v="43"/>
    <n v="95.55555555555556"/>
    <n v="45"/>
  </r>
  <r>
    <s v="UCVTt3IPhlNu2cae9QyIFZHg"/>
    <s v="UCerAw4EfTOnYYxLLPZAzMxQ"/>
    <m/>
    <m/>
    <m/>
    <m/>
    <m/>
    <m/>
    <m/>
    <m/>
    <s v="Yes"/>
    <n v="181"/>
    <m/>
    <m/>
    <s v="Commented Video"/>
    <x v="0"/>
    <s v="the link doesnot work its gives me download archives. what should i do?"/>
    <s v="UCVTt3IPhlNu2cae9QyIFZHg"/>
    <s v="Shugufta Wani"/>
    <s v="http://www.youtube.com/channel/UCVTt3IPhlNu2cae9QyIFZHg"/>
    <m/>
    <s v="Gs4NPuKIXdo"/>
    <s v="https://www.youtube.com/watch?v=Gs4NPuKIXdo"/>
    <s v="none"/>
    <n v="0"/>
    <x v="178"/>
    <d v="2018-12-03T02:42:09.000"/>
    <m/>
    <m/>
    <s v=""/>
    <n v="1"/>
    <s v="1"/>
    <s v="1"/>
    <n v="1"/>
    <n v="7.6923076923076925"/>
    <n v="0"/>
    <n v="0"/>
    <n v="0"/>
    <n v="0"/>
    <n v="12"/>
    <n v="92.3076923076923"/>
    <n v="13"/>
  </r>
  <r>
    <s v="UC5atOZ2cXiS_TcTq8DV2gzQ"/>
    <s v="UCerAw4EfTOnYYxLLPZAzMxQ"/>
    <m/>
    <m/>
    <m/>
    <m/>
    <m/>
    <m/>
    <m/>
    <m/>
    <s v="No"/>
    <n v="182"/>
    <m/>
    <m/>
    <s v="Commented Video"/>
    <x v="0"/>
    <s v="Thank you for impressing video. I&amp;#39;m going to put my formula in a node-exel graph to see the change. I&amp;#39;d like to know how?"/>
    <s v="UC5atOZ2cXiS_TcTq8DV2gzQ"/>
    <s v="이가윤"/>
    <s v="http://www.youtube.com/channel/UC5atOZ2cXiS_TcTq8DV2gzQ"/>
    <m/>
    <s v="Gs4NPuKIXdo"/>
    <s v="https://www.youtube.com/watch?v=Gs4NPuKIXdo"/>
    <s v="none"/>
    <n v="1"/>
    <x v="179"/>
    <d v="2019-05-15T00:18:15.000"/>
    <m/>
    <m/>
    <s v=""/>
    <n v="1"/>
    <s v="1"/>
    <s v="1"/>
    <n v="2"/>
    <n v="6.896551724137931"/>
    <n v="0"/>
    <n v="0"/>
    <n v="0"/>
    <n v="0"/>
    <n v="27"/>
    <n v="93.10344827586206"/>
    <n v="29"/>
  </r>
  <r>
    <s v="UCerAw4EfTOnYYxLLPZAzMxQ"/>
    <s v="UCVi7No8pCGF2Ojhz1c_aUZQ"/>
    <m/>
    <m/>
    <m/>
    <m/>
    <m/>
    <m/>
    <m/>
    <m/>
    <s v="Yes"/>
    <n v="183"/>
    <m/>
    <m/>
    <s v="Replied Comment"/>
    <x v="1"/>
    <s v="DK, thanks for writing.  I wouldn&amp;#39;t think about the NodeXL vs. R issue as one that involves general superiority of one over the other.  NodeXL&amp;#39;s strengths are in ease of visualization and analysis within a system that is comfortable to most generalists -- the spreadsheet environment of Microsoft Excel.  R, on the other hand, doesn&amp;#39;t cost anything (sadly, this is no longer the case for a functional version of NodeXL), it is freely extensible with igraph and other packages, and can engage in a more complete set of network analyses, such as QAP regression and exponential random graph modeling.  With work and a LOT of tinkering, R can approach NodeXL in beauty of visualization, but it is a lot of work.  The balance of these features will tip in one direction or another based on what your interests in research might be, how much time you have, and what your skill level in coding might be."/>
    <s v="UCerAw4EfTOnYYxLLPZAzMxQ"/>
    <s v="James Cook"/>
    <s v="http://www.youtube.com/channel/UCerAw4EfTOnYYxLLPZAzMxQ"/>
    <s v="UgxfN_fy2eIJt1LKN814AaABAg"/>
    <s v="Gs4NPuKIXdo"/>
    <s v="https://www.youtube.com/watch?v=Gs4NPuKIXdo"/>
    <s v="none"/>
    <n v="0"/>
    <x v="180"/>
    <d v="2020-05-16T17:14:55.000"/>
    <m/>
    <m/>
    <s v=""/>
    <n v="1"/>
    <s v="1"/>
    <s v="1"/>
    <n v="9"/>
    <n v="5.590062111801243"/>
    <n v="3"/>
    <n v="1.8633540372670807"/>
    <n v="0"/>
    <n v="0"/>
    <n v="149"/>
    <n v="92.54658385093168"/>
    <n v="161"/>
  </r>
  <r>
    <s v="UCVi7No8pCGF2Ojhz1c_aUZQ"/>
    <s v="UCVi7No8pCGF2Ojhz1c_aUZQ"/>
    <m/>
    <m/>
    <m/>
    <m/>
    <m/>
    <m/>
    <m/>
    <m/>
    <s v="No"/>
    <n v="184"/>
    <m/>
    <m/>
    <s v="Replied Comment"/>
    <x v="1"/>
    <s v="Thanks for the detailed reply. That helps a lot. I hope you have a wonderful day!"/>
    <s v="UCVi7No8pCGF2Ojhz1c_aUZQ"/>
    <s v="Dae"/>
    <s v="http://www.youtube.com/channel/UCVi7No8pCGF2Ojhz1c_aUZQ"/>
    <s v="UgxfN_fy2eIJt1LKN814AaABAg"/>
    <s v="Gs4NPuKIXdo"/>
    <s v="https://www.youtube.com/watch?v=Gs4NPuKIXdo"/>
    <s v="none"/>
    <n v="0"/>
    <x v="181"/>
    <d v="2020-05-16T18:35:09.000"/>
    <m/>
    <m/>
    <s v=""/>
    <n v="1"/>
    <s v="1"/>
    <s v="1"/>
    <n v="1"/>
    <n v="6.25"/>
    <n v="0"/>
    <n v="0"/>
    <n v="0"/>
    <n v="0"/>
    <n v="15"/>
    <n v="93.75"/>
    <n v="16"/>
  </r>
  <r>
    <s v="UCVi7No8pCGF2Ojhz1c_aUZQ"/>
    <s v="UCerAw4EfTOnYYxLLPZAzMxQ"/>
    <m/>
    <m/>
    <m/>
    <m/>
    <m/>
    <m/>
    <m/>
    <m/>
    <s v="Yes"/>
    <n v="185"/>
    <m/>
    <m/>
    <s v="Commented Video"/>
    <x v="0"/>
    <s v="Hello! First of all, I want to thank you for sharing these wonderful videos about social network analysis/web data scraping. I have learned a lot in the past couple of days by watching your videos. As a doctoral student, I feel more confident that I now have one more tool in my toolbox as a researcher. Thank you so much.... I would be grateful if you could answer one question. So far, from your videos, I&amp;#39;ve learned that it is possible to import Twitter data, visualize, and analyze the data (network data) by using R. Do you think NodeXL can do much more than what R is capable of. Or you can pretty much do everything that NodeXL can do by using R? Thank you in advance. Sincerely, Dae"/>
    <s v="UCVi7No8pCGF2Ojhz1c_aUZQ"/>
    <s v="Dae"/>
    <s v="http://www.youtube.com/channel/UCVi7No8pCGF2Ojhz1c_aUZQ"/>
    <m/>
    <s v="Gs4NPuKIXdo"/>
    <s v="https://www.youtube.com/watch?v=Gs4NPuKIXdo"/>
    <s v="none"/>
    <n v="1"/>
    <x v="182"/>
    <d v="2020-05-16T05:34:33.000"/>
    <m/>
    <m/>
    <s v=""/>
    <n v="1"/>
    <s v="1"/>
    <s v="1"/>
    <n v="9"/>
    <n v="6.818181818181818"/>
    <n v="0"/>
    <n v="0"/>
    <n v="0"/>
    <n v="0"/>
    <n v="123"/>
    <n v="93.18181818181819"/>
    <n v="132"/>
  </r>
  <r>
    <s v="UCOXSSL56qhApdeIzp6y6b2A"/>
    <s v="UCerAw4EfTOnYYxLLPZAzMxQ"/>
    <m/>
    <m/>
    <m/>
    <m/>
    <m/>
    <m/>
    <m/>
    <m/>
    <s v="No"/>
    <n v="186"/>
    <m/>
    <m/>
    <s v="Commented Video"/>
    <x v="0"/>
    <s v="Amazing"/>
    <s v="UCOXSSL56qhApdeIzp6y6b2A"/>
    <s v="kanwal ahmad"/>
    <s v="http://www.youtube.com/channel/UCOXSSL56qhApdeIzp6y6b2A"/>
    <m/>
    <s v="zEgrruOITHw"/>
    <s v="https://www.youtube.com/watch?v=zEgrruOITHw"/>
    <s v="none"/>
    <n v="0"/>
    <x v="183"/>
    <d v="2019-08-22T22:02:17.000"/>
    <m/>
    <m/>
    <s v=""/>
    <n v="1"/>
    <s v="1"/>
    <s v="1"/>
    <n v="1"/>
    <n v="100"/>
    <n v="0"/>
    <n v="0"/>
    <n v="0"/>
    <n v="0"/>
    <n v="0"/>
    <n v="0"/>
    <n v="1"/>
  </r>
  <r>
    <s v="UCerAw4EfTOnYYxLLPZAzMxQ"/>
    <s v="UCylMH4anH1qZ3BI7zKmRE7Q"/>
    <m/>
    <m/>
    <m/>
    <m/>
    <m/>
    <m/>
    <m/>
    <m/>
    <s v="Yes"/>
    <n v="187"/>
    <m/>
    <m/>
    <s v="Replied Comment"/>
    <x v="1"/>
    <s v="Hello!  To make node shapes be images, first select the shape option &amp;quot;Image&amp;quot; in the Vertex tab, then look for a column titled &amp;quot;Image File&amp;quot; and enter the URL of the image you would like to appear."/>
    <s v="UCerAw4EfTOnYYxLLPZAzMxQ"/>
    <s v="James Cook"/>
    <s v="http://www.youtube.com/channel/UCerAw4EfTOnYYxLLPZAzMxQ"/>
    <s v="UgxrKkvOyPZPKrtL5Qx4AaABAg"/>
    <s v="zEgrruOITHw"/>
    <s v="https://www.youtube.com/watch?v=zEgrruOITHw"/>
    <s v="none"/>
    <n v="0"/>
    <x v="184"/>
    <d v="2020-03-13T18:57:40.000"/>
    <m/>
    <m/>
    <s v=""/>
    <n v="1"/>
    <s v="1"/>
    <s v="1"/>
    <n v="1"/>
    <n v="2.4390243902439024"/>
    <n v="0"/>
    <n v="0"/>
    <n v="0"/>
    <n v="0"/>
    <n v="40"/>
    <n v="97.5609756097561"/>
    <n v="41"/>
  </r>
  <r>
    <s v="UCylMH4anH1qZ3BI7zKmRE7Q"/>
    <s v="UCerAw4EfTOnYYxLLPZAzMxQ"/>
    <m/>
    <m/>
    <m/>
    <m/>
    <m/>
    <m/>
    <m/>
    <m/>
    <s v="Yes"/>
    <n v="188"/>
    <m/>
    <m/>
    <s v="Commented Video"/>
    <x v="0"/>
    <s v="I would like to ask you how can I put an image to the label of character. Thank you!"/>
    <s v="UCylMH4anH1qZ3BI7zKmRE7Q"/>
    <s v="Aneta Bartůňková"/>
    <s v="http://www.youtube.com/channel/UCylMH4anH1qZ3BI7zKmRE7Q"/>
    <m/>
    <s v="zEgrruOITHw"/>
    <s v="https://www.youtube.com/watch?v=zEgrruOITHw"/>
    <s v="none"/>
    <n v="0"/>
    <x v="185"/>
    <d v="2020-03-13T18:26:48.000"/>
    <m/>
    <m/>
    <s v=""/>
    <n v="1"/>
    <s v="1"/>
    <s v="1"/>
    <n v="2"/>
    <n v="10.526315789473685"/>
    <n v="0"/>
    <n v="0"/>
    <n v="0"/>
    <n v="0"/>
    <n v="17"/>
    <n v="89.47368421052632"/>
    <n v="19"/>
  </r>
  <r>
    <s v="UCngfwdBt4V8gv-d14tu20HQ"/>
    <s v="UCerAw4EfTOnYYxLLPZAzMxQ"/>
    <m/>
    <m/>
    <m/>
    <m/>
    <m/>
    <m/>
    <m/>
    <m/>
    <s v="No"/>
    <n v="189"/>
    <m/>
    <m/>
    <s v="Commented Video"/>
    <x v="0"/>
    <s v="Very important video"/>
    <s v="UCngfwdBt4V8gv-d14tu20HQ"/>
    <s v="bin gaeedi"/>
    <s v="http://www.youtube.com/channel/UCngfwdBt4V8gv-d14tu20HQ"/>
    <m/>
    <s v="zEgrruOITHw"/>
    <s v="https://www.youtube.com/watch?v=zEgrruOITHw"/>
    <s v="none"/>
    <n v="1"/>
    <x v="186"/>
    <d v="2021-05-07T02:11:00.000"/>
    <m/>
    <m/>
    <s v=""/>
    <n v="1"/>
    <s v="1"/>
    <s v="1"/>
    <n v="1"/>
    <n v="33.333333333333336"/>
    <n v="0"/>
    <n v="0"/>
    <n v="0"/>
    <n v="0"/>
    <n v="2"/>
    <n v="66.66666666666667"/>
    <n v="3"/>
  </r>
  <r>
    <s v="UCCwa-poBFGXBJL1OhOSf1wQ"/>
    <s v="UCerAw4EfTOnYYxLLPZAzMxQ"/>
    <m/>
    <m/>
    <m/>
    <m/>
    <m/>
    <m/>
    <m/>
    <m/>
    <s v="No"/>
    <n v="190"/>
    <m/>
    <m/>
    <s v="Commented Video"/>
    <x v="0"/>
    <s v="How can I add a bidirectional arrow in the NodeXL?"/>
    <s v="UCCwa-poBFGXBJL1OhOSf1wQ"/>
    <s v="Sarath Mohan"/>
    <s v="http://www.youtube.com/channel/UCCwa-poBFGXBJL1OhOSf1wQ"/>
    <m/>
    <s v="zEgrruOITHw"/>
    <s v="https://www.youtube.com/watch?v=zEgrruOITHw"/>
    <s v="none"/>
    <n v="0"/>
    <x v="187"/>
    <d v="2022-05-19T12:01:31.000"/>
    <m/>
    <m/>
    <s v=""/>
    <n v="1"/>
    <s v="1"/>
    <s v="1"/>
    <n v="0"/>
    <n v="0"/>
    <n v="0"/>
    <n v="0"/>
    <n v="0"/>
    <n v="0"/>
    <n v="10"/>
    <n v="100"/>
    <n v="10"/>
  </r>
  <r>
    <s v="UClPlgNc4dpa-ymND_dWE-9w"/>
    <s v="UCerAw4EfTOnYYxLLPZAzMxQ"/>
    <m/>
    <m/>
    <m/>
    <m/>
    <m/>
    <m/>
    <m/>
    <m/>
    <s v="No"/>
    <n v="191"/>
    <m/>
    <m/>
    <s v="Commented Video"/>
    <x v="0"/>
    <s v="Thank you so much for this video. I&amp;#39;m graduating in Social Comunication in Brazil and doing a work about the interactions around a famous TV Show here on Twitter.&lt;br&gt;I&amp;#39;m using NodeXL and some of your tips really helped me, like telling in an easy way what are Clusters and how they are made by the algorithm, or why do NodeXL chooses the more recent interactions on Twitter&amp;#39;s search. Thanks!!"/>
    <s v="UClPlgNc4dpa-ymND_dWE-9w"/>
    <s v="Darlan Kafeltz"/>
    <s v="http://www.youtube.com/channel/UClPlgNc4dpa-ymND_dWE-9w"/>
    <m/>
    <s v="PC-PgkhpsNc"/>
    <s v="https://www.youtube.com/watch?v=PC-PgkhpsNc"/>
    <s v="none"/>
    <n v="1"/>
    <x v="188"/>
    <d v="2013-11-09T19:25:28.000"/>
    <m/>
    <m/>
    <s v=""/>
    <n v="1"/>
    <s v="1"/>
    <s v="1"/>
    <n v="6"/>
    <n v="7.792207792207792"/>
    <n v="0"/>
    <n v="0"/>
    <n v="0"/>
    <n v="0"/>
    <n v="71"/>
    <n v="92.20779220779221"/>
    <n v="77"/>
  </r>
  <r>
    <s v="UCerAw4EfTOnYYxLLPZAzMxQ"/>
    <s v="UC7V-eKD4-9qacoIOSfjCkvQ"/>
    <m/>
    <m/>
    <m/>
    <m/>
    <m/>
    <m/>
    <m/>
    <m/>
    <s v="Yes"/>
    <n v="192"/>
    <m/>
    <m/>
    <s v="Replied Comment"/>
    <x v="1"/>
    <s v="Meredian, thanks for writing.  It seems that the last use of the hashtag was in February, and unfortunately Twitter search results go back at best of times only about two weeks.  It you want to capture Tweets as they come in and save them, a low-cost easy service is Tweet Archivist Desktop."/>
    <s v="UCerAw4EfTOnYYxLLPZAzMxQ"/>
    <s v="James Cook"/>
    <s v="http://www.youtube.com/channel/UCerAw4EfTOnYYxLLPZAzMxQ"/>
    <s v="UgjxSl3xBT3Bw3gCoAEC"/>
    <s v="vp7VXgvVAPg"/>
    <s v="https://www.youtube.com/watch?v=vp7VXgvVAPg"/>
    <s v="none"/>
    <n v="1"/>
    <x v="189"/>
    <d v="2014-04-06T20:36:03.000"/>
    <m/>
    <m/>
    <s v=""/>
    <n v="2"/>
    <s v="1"/>
    <s v="3"/>
    <n v="2"/>
    <n v="3.7735849056603774"/>
    <n v="1"/>
    <n v="1.8867924528301887"/>
    <n v="0"/>
    <n v="0"/>
    <n v="50"/>
    <n v="94.33962264150944"/>
    <n v="53"/>
  </r>
  <r>
    <s v="UC7V-eKD4-9qacoIOSfjCkvQ"/>
    <s v="UCerAw4EfTOnYYxLLPZAzMxQ"/>
    <m/>
    <m/>
    <m/>
    <m/>
    <m/>
    <m/>
    <m/>
    <m/>
    <s v="Yes"/>
    <n v="193"/>
    <m/>
    <m/>
    <s v="Commented Video"/>
    <x v="0"/>
    <s v="Hi Dr James. Many thanks for the information. Anyway, I endeavoured to do analysis on environmental network on Twitter using  &lt;a href=&quot;http://www.youtube.com/results?search_query=%23SaveBabakanSiliwangi&quot;&gt;#SaveBabakanSiliwangi&lt;/a&gt;  but the vertices and graphic can&amp;#39;t come up. When I inserted  &lt;a href=&quot;http://www.youtube.com/results?search_query=%23SaveBabakanSiliwangi&quot;&gt;#SaveBabakanSiliwangi&lt;/a&gt;  to Import menu &amp;quot;From Twitter Search Network&amp;quot; the vertices are supposed to be appearing because  &lt;a href=&quot;http://www.youtube.com/results?search_query=%23SaveBabakanSiliwangi&quot;&gt;#SaveBabakanSiliwangi&lt;/a&gt;  has been widely mentioned in these recent days. Can you give me a hand how to resolve this issue? Thank you in advance and looking forward to hearing from you. "/>
    <s v="UC7V-eKD4-9qacoIOSfjCkvQ"/>
    <s v="meredian alam"/>
    <s v="http://www.youtube.com/channel/UC7V-eKD4-9qacoIOSfjCkvQ"/>
    <m/>
    <s v="vp7VXgvVAPg"/>
    <s v="https://www.youtube.com/watch?v=vp7VXgvVAPg"/>
    <s v="none"/>
    <n v="0"/>
    <x v="190"/>
    <d v="2014-04-04T15:58:24.000"/>
    <s v=" http://www.youtube.com/results?search_query=%23SaveBabakanSiliwangi http://www.youtube.com/results?search_query=%23SaveBabakanSiliwangi http://www.youtube.com/results?search_query=%23SaveBabakanSiliwangi"/>
    <s v="youtube.com youtube.com youtube.com"/>
    <s v=""/>
    <n v="2"/>
    <s v="3"/>
    <s v="1"/>
    <n v="1"/>
    <n v="0.8849557522123894"/>
    <n v="1"/>
    <n v="0.8849557522123894"/>
    <n v="0"/>
    <n v="0"/>
    <n v="111"/>
    <n v="98.23008849557522"/>
    <n v="113"/>
  </r>
  <r>
    <s v="UC7V-eKD4-9qacoIOSfjCkvQ"/>
    <s v="UCewxu9BEC64CfQVzR6vd3cA"/>
    <m/>
    <m/>
    <m/>
    <m/>
    <m/>
    <m/>
    <m/>
    <m/>
    <s v="No"/>
    <n v="194"/>
    <m/>
    <m/>
    <s v="Commented Video"/>
    <x v="0"/>
    <s v="Hi Avkash! Thanks for the inspiring information. Anyway, I am currently researching the network of environmental movement in Indonesia with &lt;a href=&quot;http://www.youtube.com/results?search_query=%23SaveBabakanSiliwangi&quot;&gt;#SaveBabakanSiliwangi&lt;/a&gt;, but only 1 vertice appeared as the result. The vertices are supposed to be a lot because &lt;a href=&quot;http://www.youtube.com/results?search_query=%23SaveBabakan&quot;&gt;#SaveBabakan&lt;/a&gt; Siliwangi have been twitted by around thousand users. Can you give me a hand for this issue? Thank you very much. "/>
    <s v="UC7V-eKD4-9qacoIOSfjCkvQ"/>
    <s v="meredian alam"/>
    <s v="http://www.youtube.com/channel/UC7V-eKD4-9qacoIOSfjCkvQ"/>
    <m/>
    <s v="DfVp1zDYNLg"/>
    <s v="https://www.youtube.com/watch?v=DfVp1zDYNLg"/>
    <s v="none"/>
    <n v="0"/>
    <x v="191"/>
    <d v="2014-04-04T15:42:36.000"/>
    <s v=" http://www.youtube.com/results?search_query=%23SaveBabakanSiliwangi http://www.youtube.com/results?search_query=%23SaveBabakan"/>
    <s v="youtube.com youtube.com"/>
    <s v=""/>
    <n v="1"/>
    <s v="3"/>
    <s v="3"/>
    <n v="2"/>
    <n v="2.5"/>
    <n v="1"/>
    <n v="1.25"/>
    <n v="0"/>
    <n v="0"/>
    <n v="77"/>
    <n v="96.25"/>
    <n v="80"/>
  </r>
  <r>
    <s v="UCerAw4EfTOnYYxLLPZAzMxQ"/>
    <s v="UC7V-eKD4-9qacoIOSfjCkvQ"/>
    <m/>
    <m/>
    <m/>
    <m/>
    <m/>
    <m/>
    <m/>
    <m/>
    <s v="Yes"/>
    <n v="195"/>
    <m/>
    <m/>
    <s v="Replied Comment"/>
    <x v="1"/>
    <s v="Hello, Meredian.  What I notice, looking at Twitter, is that the hashtag you mention has been used just once since February, with a Tweet on April 1.  When you search through a hashtag using NodeXL, the Twitter API will only return material going a week or two back in time, which is why the earlier February tweets don&amp;#39;t appear in your search results.  That&amp;#39;s an unfortunate limitation of how Twitter chooses to share its data."/>
    <s v="UCerAw4EfTOnYYxLLPZAzMxQ"/>
    <s v="James Cook"/>
    <s v="http://www.youtube.com/channel/UCerAw4EfTOnYYxLLPZAzMxQ"/>
    <s v="UghPezZiqsUaIXgCoAEC"/>
    <s v="PC-PgkhpsNc"/>
    <s v="https://www.youtube.com/watch?v=PC-PgkhpsNc"/>
    <s v="none"/>
    <n v="0"/>
    <x v="192"/>
    <d v="2014-04-07T02:18:14.000"/>
    <m/>
    <m/>
    <s v=""/>
    <n v="2"/>
    <s v="1"/>
    <s v="3"/>
    <n v="0"/>
    <n v="0"/>
    <n v="2"/>
    <n v="2.5316455696202533"/>
    <n v="0"/>
    <n v="0"/>
    <n v="77"/>
    <n v="97.46835443037975"/>
    <n v="79"/>
  </r>
  <r>
    <s v="UC7V-eKD4-9qacoIOSfjCkvQ"/>
    <s v="UCerAw4EfTOnYYxLLPZAzMxQ"/>
    <m/>
    <m/>
    <m/>
    <m/>
    <m/>
    <m/>
    <m/>
    <m/>
    <s v="Yes"/>
    <n v="196"/>
    <m/>
    <m/>
    <s v="Commented Video"/>
    <x v="0"/>
    <s v="Hi James! Thanks for the inspiring information. Anyway, I am currently researching the network of environmental movement in Indonesia with &lt;a href=&quot;http://www.youtube.com/results?search_query=%23SaveBabakanSiliwangi&quot;&gt;#SaveBabakanSiliwangi&lt;/a&gt;, but only 1 vertice appeared as the result. The vertices are supposed to be a lot because  &lt;a href=&quot;http://www.youtube.com/results?search_query=%23SaveBabakan&quot;&gt;#SaveBabakan&lt;/a&gt;  Siliwangi have been twitted by around thousand users. Can you give me a hand for this issue? Thank you very much. "/>
    <s v="UC7V-eKD4-9qacoIOSfjCkvQ"/>
    <s v="meredian alam"/>
    <s v="http://www.youtube.com/channel/UC7V-eKD4-9qacoIOSfjCkvQ"/>
    <m/>
    <s v="PC-PgkhpsNc"/>
    <s v="https://www.youtube.com/watch?v=PC-PgkhpsNc"/>
    <s v="none"/>
    <n v="0"/>
    <x v="193"/>
    <d v="2014-04-04T15:40:41.000"/>
    <s v=" http://www.youtube.com/results?search_query=%23SaveBabakanSiliwangi http://www.youtube.com/results?search_query=%23SaveBabakan"/>
    <s v="youtube.com youtube.com"/>
    <s v=""/>
    <n v="2"/>
    <s v="3"/>
    <s v="1"/>
    <n v="2"/>
    <n v="2.5"/>
    <n v="1"/>
    <n v="1.25"/>
    <n v="0"/>
    <n v="0"/>
    <n v="77"/>
    <n v="96.25"/>
    <n v="80"/>
  </r>
  <r>
    <s v="UCerAw4EfTOnYYxLLPZAzMxQ"/>
    <s v="UCl_-t3QxGQvNu9-Wp1iGLdQ"/>
    <m/>
    <m/>
    <m/>
    <m/>
    <m/>
    <m/>
    <m/>
    <m/>
    <s v="Yes"/>
    <n v="197"/>
    <m/>
    <m/>
    <s v="Replied Comment"/>
    <x v="1"/>
    <s v="Sure do!  Just browse through my video list for examples."/>
    <s v="UCerAw4EfTOnYYxLLPZAzMxQ"/>
    <s v="James Cook"/>
    <s v="http://www.youtube.com/channel/UCerAw4EfTOnYYxLLPZAzMxQ"/>
    <s v="UghciJ0OgAnM7XgCoAEC"/>
    <s v="PC-PgkhpsNc"/>
    <s v="https://www.youtube.com/watch?v=PC-PgkhpsNc"/>
    <s v="none"/>
    <n v="1"/>
    <x v="194"/>
    <d v="2014-06-11T19:35:15.000"/>
    <m/>
    <m/>
    <s v=""/>
    <n v="1"/>
    <s v="1"/>
    <s v="1"/>
    <n v="0"/>
    <n v="0"/>
    <n v="0"/>
    <n v="0"/>
    <n v="0"/>
    <n v="0"/>
    <n v="10"/>
    <n v="100"/>
    <n v="10"/>
  </r>
  <r>
    <s v="UCl_-t3QxGQvNu9-Wp1iGLdQ"/>
    <s v="UCerAw4EfTOnYYxLLPZAzMxQ"/>
    <m/>
    <m/>
    <m/>
    <m/>
    <m/>
    <m/>
    <m/>
    <m/>
    <s v="Yes"/>
    <n v="198"/>
    <m/>
    <m/>
    <s v="Commented Video"/>
    <x v="0"/>
    <s v="Video has been very helpful to me, as a new NodeXL user. Although I just started using NodeXL, this video has taught me a lot! Thanks for this, James! Do you have anymore walk through videos for NodeXL?"/>
    <s v="UCl_-t3QxGQvNu9-Wp1iGLdQ"/>
    <s v="Rise Above Promotions"/>
    <s v="http://www.youtube.com/channel/UCl_-t3QxGQvNu9-Wp1iGLdQ"/>
    <m/>
    <s v="PC-PgkhpsNc"/>
    <s v="https://www.youtube.com/watch?v=PC-PgkhpsNc"/>
    <s v="none"/>
    <n v="0"/>
    <x v="195"/>
    <d v="2014-05-09T19:45:43.000"/>
    <m/>
    <m/>
    <s v=""/>
    <n v="1"/>
    <s v="1"/>
    <s v="1"/>
    <n v="1"/>
    <n v="2.6315789473684212"/>
    <n v="0"/>
    <n v="0"/>
    <n v="0"/>
    <n v="0"/>
    <n v="37"/>
    <n v="97.36842105263158"/>
    <n v="38"/>
  </r>
  <r>
    <s v="UC72mAuOZR5GBLYq7vDITHuw"/>
    <s v="UCerAw4EfTOnYYxLLPZAzMxQ"/>
    <m/>
    <m/>
    <m/>
    <m/>
    <m/>
    <m/>
    <m/>
    <m/>
    <s v="No"/>
    <n v="199"/>
    <m/>
    <m/>
    <s v="Commented Video"/>
    <x v="0"/>
    <s v="Hi James! Very clear and helpful tutorial video, thank you for sharing it! You mentioned the Social Network Analysis textbook at the end of your video, do you mind if sharing the name of it? and what textbooks do you think are good for learning social network analysis? Thanks!"/>
    <s v="UC72mAuOZR5GBLYq7vDITHuw"/>
    <s v="Belle Li"/>
    <s v="http://www.youtube.com/channel/UC72mAuOZR5GBLYq7vDITHuw"/>
    <m/>
    <s v="PC-PgkhpsNc"/>
    <s v="https://www.youtube.com/watch?v=PC-PgkhpsNc"/>
    <s v="none"/>
    <n v="0"/>
    <x v="196"/>
    <d v="2014-06-11T19:01:39.000"/>
    <m/>
    <m/>
    <s v=""/>
    <n v="1"/>
    <s v="1"/>
    <s v="1"/>
    <n v="4"/>
    <n v="8.16326530612245"/>
    <n v="0"/>
    <n v="0"/>
    <n v="0"/>
    <n v="0"/>
    <n v="45"/>
    <n v="91.83673469387755"/>
    <n v="49"/>
  </r>
  <r>
    <s v="UCe9SZXN8hQOR5jjWTKgMNiA"/>
    <s v="UCerAw4EfTOnYYxLLPZAzMxQ"/>
    <m/>
    <m/>
    <m/>
    <m/>
    <m/>
    <m/>
    <m/>
    <m/>
    <s v="No"/>
    <n v="200"/>
    <m/>
    <m/>
    <s v="Commented Video"/>
    <x v="0"/>
    <s v="Excellent walk through, pretty much did my assignment for me :)"/>
    <s v="UCe9SZXN8hQOR5jjWTKgMNiA"/>
    <s v="Sean Lynch"/>
    <s v="http://www.youtube.com/channel/UCe9SZXN8hQOR5jjWTKgMNiA"/>
    <m/>
    <s v="PC-PgkhpsNc"/>
    <s v="https://www.youtube.com/watch?v=PC-PgkhpsNc"/>
    <s v="none"/>
    <n v="2"/>
    <x v="197"/>
    <d v="2014-12-03T19:50:03.000"/>
    <m/>
    <m/>
    <s v=""/>
    <n v="1"/>
    <s v="1"/>
    <s v="1"/>
    <n v="2"/>
    <n v="20"/>
    <n v="0"/>
    <n v="0"/>
    <n v="0"/>
    <n v="0"/>
    <n v="8"/>
    <n v="80"/>
    <n v="10"/>
  </r>
  <r>
    <s v="UCZ8nrFIJyJwN6R0ZOALXetQ"/>
    <s v="UCerAw4EfTOnYYxLLPZAzMxQ"/>
    <m/>
    <m/>
    <m/>
    <m/>
    <m/>
    <m/>
    <m/>
    <m/>
    <s v="No"/>
    <n v="201"/>
    <m/>
    <m/>
    <s v="Commented Video"/>
    <x v="0"/>
    <s v="Thanks a lot for this tutorial, very helpful"/>
    <s v="UCZ8nrFIJyJwN6R0ZOALXetQ"/>
    <s v="Fabrice Frossard"/>
    <s v="http://www.youtube.com/channel/UCZ8nrFIJyJwN6R0ZOALXetQ"/>
    <m/>
    <s v="PC-PgkhpsNc"/>
    <s v="https://www.youtube.com/watch?v=PC-PgkhpsNc"/>
    <s v="none"/>
    <n v="1"/>
    <x v="198"/>
    <d v="2015-02-02T19:39:39.000"/>
    <m/>
    <m/>
    <s v=""/>
    <n v="1"/>
    <s v="1"/>
    <s v="1"/>
    <n v="1"/>
    <n v="12.5"/>
    <n v="0"/>
    <n v="0"/>
    <n v="0"/>
    <n v="0"/>
    <n v="7"/>
    <n v="87.5"/>
    <n v="8"/>
  </r>
  <r>
    <s v="UCc_IrnsTVtcDBTMBJ6prkag"/>
    <s v="UCd0sHnrF1NVw90DF39XEKDQ"/>
    <m/>
    <m/>
    <m/>
    <m/>
    <m/>
    <m/>
    <m/>
    <m/>
    <s v="No"/>
    <n v="202"/>
    <m/>
    <m/>
    <s v="Replied Comment"/>
    <x v="1"/>
    <s v="+Luxmi Verma I believe you are looking for topical analysis..? &lt;br&gt;Is it?"/>
    <s v="UCc_IrnsTVtcDBTMBJ6prkag"/>
    <s v="Mridul Gupta"/>
    <s v="http://www.youtube.com/channel/UCc_IrnsTVtcDBTMBJ6prkag"/>
    <s v="Ugj1z4qym4XX13gCoAEC"/>
    <s v="PC-PgkhpsNc"/>
    <s v="https://www.youtube.com/watch?v=PC-PgkhpsNc"/>
    <s v="none"/>
    <n v="0"/>
    <x v="199"/>
    <d v="2015-09-17T23:43:27.000"/>
    <m/>
    <m/>
    <s v=""/>
    <n v="1"/>
    <s v="1"/>
    <s v="1"/>
    <n v="0"/>
    <n v="0"/>
    <n v="0"/>
    <n v="0"/>
    <n v="0"/>
    <n v="0"/>
    <n v="13"/>
    <n v="100"/>
    <n v="13"/>
  </r>
  <r>
    <s v="UCerAw4EfTOnYYxLLPZAzMxQ"/>
    <s v="UCd0sHnrF1NVw90DF39XEKDQ"/>
    <m/>
    <m/>
    <m/>
    <m/>
    <m/>
    <m/>
    <m/>
    <m/>
    <s v="Yes"/>
    <n v="203"/>
    <m/>
    <m/>
    <s v="Replied Comment"/>
    <x v="1"/>
    <s v="@Luxmi Verma Hi Luxmi.  If you don&amp;#39;t want boxes around your clusters, visit Layout -&amp;gt; Layout Options in the Graph Ribbon and set the width of the box outline to zero."/>
    <s v="UCerAw4EfTOnYYxLLPZAzMxQ"/>
    <s v="James Cook"/>
    <s v="http://www.youtube.com/channel/UCerAw4EfTOnYYxLLPZAzMxQ"/>
    <s v="UgijL0mmKttMo3gCoAEC"/>
    <s v="lbb2lMCSg64"/>
    <s v="https://www.youtube.com/watch?v=lbb2lMCSg64"/>
    <s v="none"/>
    <n v="1"/>
    <x v="200"/>
    <d v="2015-07-27T14:43:04.000"/>
    <m/>
    <m/>
    <s v=""/>
    <n v="6"/>
    <s v="1"/>
    <s v="1"/>
    <n v="0"/>
    <n v="0"/>
    <n v="0"/>
    <n v="0"/>
    <n v="0"/>
    <n v="0"/>
    <n v="33"/>
    <n v="100"/>
    <n v="33"/>
  </r>
  <r>
    <s v="UCd0sHnrF1NVw90DF39XEKDQ"/>
    <s v="UCerAw4EfTOnYYxLLPZAzMxQ"/>
    <m/>
    <m/>
    <m/>
    <m/>
    <m/>
    <m/>
    <m/>
    <m/>
    <s v="Yes"/>
    <n v="204"/>
    <m/>
    <m/>
    <s v="Commented Video"/>
    <x v="0"/>
    <s v="Hi james , how to get rid of cluster boxes i dont need"/>
    <s v="UCd0sHnrF1NVw90DF39XEKDQ"/>
    <s v="Luxmi Verma"/>
    <s v="http://www.youtube.com/channel/UCd0sHnrF1NVw90DF39XEKDQ"/>
    <m/>
    <s v="lbb2lMCSg64"/>
    <s v="https://www.youtube.com/watch?v=lbb2lMCSg64"/>
    <s v="none"/>
    <n v="0"/>
    <x v="201"/>
    <d v="2015-07-27T12:36:45.000"/>
    <m/>
    <m/>
    <s v=""/>
    <n v="7"/>
    <s v="1"/>
    <s v="1"/>
    <n v="0"/>
    <n v="0"/>
    <n v="0"/>
    <n v="0"/>
    <n v="0"/>
    <n v="0"/>
    <n v="12"/>
    <n v="100"/>
    <n v="12"/>
  </r>
  <r>
    <s v="UCd0sHnrF1NVw90DF39XEKDQ"/>
    <s v="UCerAw4EfTOnYYxLLPZAzMxQ"/>
    <m/>
    <m/>
    <m/>
    <m/>
    <m/>
    <m/>
    <m/>
    <m/>
    <s v="Yes"/>
    <n v="205"/>
    <m/>
    <m/>
    <s v="Commented Video"/>
    <x v="0"/>
    <s v="i have the data in terms of author using the hashtag , how can i visualize that as not column is present on twitter user networks"/>
    <s v="UCd0sHnrF1NVw90DF39XEKDQ"/>
    <s v="Luxmi Verma"/>
    <s v="http://www.youtube.com/channel/UCd0sHnrF1NVw90DF39XEKDQ"/>
    <m/>
    <s v="lbb2lMCSg64"/>
    <s v="https://www.youtube.com/watch?v=lbb2lMCSg64"/>
    <s v="none"/>
    <n v="0"/>
    <x v="202"/>
    <d v="2015-07-27T13:54:50.000"/>
    <m/>
    <m/>
    <s v=""/>
    <n v="7"/>
    <s v="1"/>
    <s v="1"/>
    <n v="0"/>
    <n v="0"/>
    <n v="0"/>
    <n v="0"/>
    <n v="0"/>
    <n v="0"/>
    <n v="25"/>
    <n v="100"/>
    <n v="25"/>
  </r>
  <r>
    <s v="UCerAw4EfTOnYYxLLPZAzMxQ"/>
    <s v="UCd0sHnrF1NVw90DF39XEKDQ"/>
    <m/>
    <m/>
    <m/>
    <m/>
    <m/>
    <m/>
    <m/>
    <m/>
    <s v="Yes"/>
    <n v="206"/>
    <m/>
    <m/>
    <s v="Replied Comment"/>
    <x v="1"/>
    <s v="+Luxmi Verma Right here: &lt;a href=&quot;https://nodexlgraphgallery.org/Pages/registration.aspx&quot;&gt;https://nodexlgraphgallery.org/Pages/registration.aspx&lt;/a&gt;"/>
    <s v="UCerAw4EfTOnYYxLLPZAzMxQ"/>
    <s v="James Cook"/>
    <s v="http://www.youtube.com/channel/UCerAw4EfTOnYYxLLPZAzMxQ"/>
    <s v="UgglV6t1rOoKAngCoAEC"/>
    <s v="08MqGSL9TNQ"/>
    <s v="https://www.youtube.com/watch?v=08MqGSL9TNQ"/>
    <s v="none"/>
    <n v="0"/>
    <x v="203"/>
    <d v="2016-05-03T21:38:37.000"/>
    <s v=" https://nodexlgraphgallery.org/Pages/registration.aspx https://nodexlgraphgallery.org/Pages/registration.aspx"/>
    <s v="nodexlgraphgallery.org nodexlgraphgallery.org"/>
    <s v=""/>
    <n v="6"/>
    <s v="1"/>
    <s v="1"/>
    <n v="1"/>
    <n v="5.2631578947368425"/>
    <n v="0"/>
    <n v="0"/>
    <n v="0"/>
    <n v="0"/>
    <n v="18"/>
    <n v="94.73684210526316"/>
    <n v="19"/>
  </r>
  <r>
    <s v="UCd0sHnrF1NVw90DF39XEKDQ"/>
    <s v="UCerAw4EfTOnYYxLLPZAzMxQ"/>
    <m/>
    <m/>
    <m/>
    <m/>
    <m/>
    <m/>
    <m/>
    <m/>
    <s v="Yes"/>
    <n v="207"/>
    <m/>
    <m/>
    <s v="Commented Video"/>
    <x v="0"/>
    <s v="Hi , any idea how to download nodexlpro ?"/>
    <s v="UCd0sHnrF1NVw90DF39XEKDQ"/>
    <s v="Luxmi Verma"/>
    <s v="http://www.youtube.com/channel/UCd0sHnrF1NVw90DF39XEKDQ"/>
    <m/>
    <s v="08MqGSL9TNQ"/>
    <s v="https://www.youtube.com/watch?v=08MqGSL9TNQ"/>
    <s v="none"/>
    <n v="0"/>
    <x v="204"/>
    <d v="2016-05-03T18:17:09.000"/>
    <m/>
    <m/>
    <s v=""/>
    <n v="7"/>
    <s v="1"/>
    <s v="1"/>
    <n v="0"/>
    <n v="0"/>
    <n v="0"/>
    <n v="0"/>
    <n v="0"/>
    <n v="0"/>
    <n v="7"/>
    <n v="100"/>
    <n v="7"/>
  </r>
  <r>
    <s v="UCd0sHnrF1NVw90DF39XEKDQ"/>
    <s v="UCerAw4EfTOnYYxLLPZAzMxQ"/>
    <m/>
    <m/>
    <m/>
    <m/>
    <m/>
    <m/>
    <m/>
    <m/>
    <s v="Yes"/>
    <n v="208"/>
    <m/>
    <m/>
    <s v="Commented Video"/>
    <x v="0"/>
    <s v="thanks Prof!, also is there a certification of network analysis that i can take , I find this subject quite interesting"/>
    <s v="UCd0sHnrF1NVw90DF39XEKDQ"/>
    <s v="Luxmi Verma"/>
    <s v="http://www.youtube.com/channel/UCd0sHnrF1NVw90DF39XEKDQ"/>
    <m/>
    <s v="08MqGSL9TNQ"/>
    <s v="https://www.youtube.com/watch?v=08MqGSL9TNQ"/>
    <s v="none"/>
    <n v="0"/>
    <x v="205"/>
    <d v="2016-05-04T07:09:11.000"/>
    <m/>
    <m/>
    <s v=""/>
    <n v="7"/>
    <s v="1"/>
    <s v="1"/>
    <n v="1"/>
    <n v="5"/>
    <n v="0"/>
    <n v="0"/>
    <n v="0"/>
    <n v="0"/>
    <n v="19"/>
    <n v="95"/>
    <n v="20"/>
  </r>
  <r>
    <s v="UCerAw4EfTOnYYxLLPZAzMxQ"/>
    <s v="UCd0sHnrF1NVw90DF39XEKDQ"/>
    <m/>
    <m/>
    <m/>
    <m/>
    <m/>
    <m/>
    <m/>
    <m/>
    <s v="Yes"/>
    <n v="209"/>
    <m/>
    <m/>
    <s v="Replied Comment"/>
    <x v="1"/>
    <s v="@Luxmi Verma that depends on the form of data you have.  Can you post an example of a few lines of text to indicate what your lines of data look like?"/>
    <s v="UCerAw4EfTOnYYxLLPZAzMxQ"/>
    <s v="James Cook"/>
    <s v="http://www.youtube.com/channel/UCerAw4EfTOnYYxLLPZAzMxQ"/>
    <s v="UgjbVu5aRVHxUHgCoAEC"/>
    <s v="PC-PgkhpsNc"/>
    <s v="https://www.youtube.com/watch?v="/>
    <s v="none"/>
    <n v="0"/>
    <x v="206"/>
    <d v="2015-06-17T14:20:02.000"/>
    <m/>
    <m/>
    <s v=""/>
    <n v="6"/>
    <s v="1"/>
    <s v="1"/>
    <n v="1"/>
    <n v="3.225806451612903"/>
    <n v="0"/>
    <n v="0"/>
    <n v="0"/>
    <n v="0"/>
    <n v="30"/>
    <n v="96.7741935483871"/>
    <n v="31"/>
  </r>
  <r>
    <s v="UCd0sHnrF1NVw90DF39XEKDQ"/>
    <s v="UCd0sHnrF1NVw90DF39XEKDQ"/>
    <m/>
    <m/>
    <m/>
    <m/>
    <m/>
    <m/>
    <m/>
    <m/>
    <s v="No"/>
    <n v="210"/>
    <m/>
    <m/>
    <s v="Replied Comment"/>
    <x v="1"/>
    <s v="@James Cook the data format is on excel , is there any email id where can i send the data example, i get the edge list from there but to find vertices i have been told to put the data in R software to develop relations as corresponding tweets are mentioned  wondering what to do?"/>
    <s v="UCd0sHnrF1NVw90DF39XEKDQ"/>
    <s v="Luxmi Verma"/>
    <s v="http://www.youtube.com/channel/UCd0sHnrF1NVw90DF39XEKDQ"/>
    <s v="UgjbVu5aRVHxUHgCoAEC"/>
    <s v="PC-PgkhpsNc"/>
    <s v="https://www.youtube.com/watch?v="/>
    <s v="none"/>
    <n v="0"/>
    <x v="207"/>
    <d v="2015-06-17T21:14:30.000"/>
    <m/>
    <m/>
    <s v=""/>
    <n v="3"/>
    <s v="1"/>
    <s v="1"/>
    <n v="1"/>
    <n v="1.8518518518518519"/>
    <n v="0"/>
    <n v="0"/>
    <n v="0"/>
    <n v="0"/>
    <n v="53"/>
    <n v="98.14814814814815"/>
    <n v="54"/>
  </r>
  <r>
    <s v="UCerAw4EfTOnYYxLLPZAzMxQ"/>
    <s v="UCd0sHnrF1NVw90DF39XEKDQ"/>
    <m/>
    <m/>
    <m/>
    <m/>
    <m/>
    <m/>
    <m/>
    <m/>
    <s v="Yes"/>
    <n v="211"/>
    <m/>
    <m/>
    <s v="Replied Comment"/>
    <x v="1"/>
    <s v="Excel is the file format.  Edge list would be the data format, and if you have an edge list you should be able to cut and paste it in right from Excel, since the NodeXL data format is also an edge list."/>
    <s v="UCerAw4EfTOnYYxLLPZAzMxQ"/>
    <s v="James Cook"/>
    <s v="http://www.youtube.com/channel/UCerAw4EfTOnYYxLLPZAzMxQ"/>
    <s v="UgjbVu5aRVHxUHgCoAEC"/>
    <s v="PC-PgkhpsNc"/>
    <s v="https://www.youtube.com/watch?v="/>
    <s v="none"/>
    <n v="0"/>
    <x v="208"/>
    <d v="2015-06-17T21:23:06.000"/>
    <m/>
    <m/>
    <s v=""/>
    <n v="6"/>
    <s v="1"/>
    <s v="1"/>
    <n v="3"/>
    <n v="7.142857142857143"/>
    <n v="0"/>
    <n v="0"/>
    <n v="0"/>
    <n v="0"/>
    <n v="39"/>
    <n v="92.85714285714286"/>
    <n v="42"/>
  </r>
  <r>
    <s v="UCd0sHnrF1NVw90DF39XEKDQ"/>
    <s v="UCd0sHnrF1NVw90DF39XEKDQ"/>
    <m/>
    <m/>
    <m/>
    <m/>
    <m/>
    <m/>
    <m/>
    <m/>
    <s v="No"/>
    <n v="212"/>
    <m/>
    <m/>
    <s v="Replied Comment"/>
    <x v="1"/>
    <s v="@James Cook  let me explain so i have author names in one column - node but in another column i have their tweets where they are mentioning / reply to other people , if i am just copying the nodes and psting its is giving me a self loop graph how do i show relation ship here? do i need to manually from the tweet take out themention/reply twitter handle and put on vertices column to build or i have to pass it through R or any other software!! before pasting it to node xl"/>
    <s v="UCd0sHnrF1NVw90DF39XEKDQ"/>
    <s v="Luxmi Verma"/>
    <s v="http://www.youtube.com/channel/UCd0sHnrF1NVw90DF39XEKDQ"/>
    <s v="UgjbVu5aRVHxUHgCoAEC"/>
    <s v="PC-PgkhpsNc"/>
    <s v="https://www.youtube.com/watch?v="/>
    <s v="none"/>
    <n v="0"/>
    <x v="209"/>
    <d v="2015-06-18T06:15:43.000"/>
    <m/>
    <m/>
    <s v=""/>
    <n v="3"/>
    <s v="1"/>
    <s v="1"/>
    <n v="0"/>
    <n v="0"/>
    <n v="0"/>
    <n v="0"/>
    <n v="0"/>
    <n v="0"/>
    <n v="93"/>
    <n v="100"/>
    <n v="93"/>
  </r>
  <r>
    <s v="UCerAw4EfTOnYYxLLPZAzMxQ"/>
    <s v="UCd0sHnrF1NVw90DF39XEKDQ"/>
    <m/>
    <m/>
    <m/>
    <m/>
    <m/>
    <m/>
    <m/>
    <m/>
    <s v="Yes"/>
    <n v="213"/>
    <m/>
    <m/>
    <s v="Replied Comment"/>
    <x v="1"/>
    <s v="@Luxmi Verma Oh, OK, so you &lt;b&gt;don&amp;#39;t&lt;/b&gt; have an edge list yet.  You need to convert your data into an edge list, though.  You certainly don&amp;#39;t have to pass anything through R, although you could.  Try this: you could expand the &amp;quot;Tweets&amp;quot; column (using the Data-&amp;gt;Text to Columns command) so that the Tweet is separated out into different columns with a space as a delimiter.  Then take every result that contains a &amp;quot;@&amp;quot; and you&amp;#39;ll have the nodes to which they are posting -- the target.  You could create your edge list that way."/>
    <s v="UCerAw4EfTOnYYxLLPZAzMxQ"/>
    <s v="James Cook"/>
    <s v="http://www.youtube.com/channel/UCerAw4EfTOnYYxLLPZAzMxQ"/>
    <s v="UgjbVu5aRVHxUHgCoAEC"/>
    <s v="PC-PgkhpsNc"/>
    <s v="https://www.youtube.com/watch?v="/>
    <s v="none"/>
    <n v="1"/>
    <x v="210"/>
    <d v="2015-06-18T15:07:58.000"/>
    <m/>
    <m/>
    <s v=""/>
    <n v="6"/>
    <s v="1"/>
    <s v="1"/>
    <n v="0"/>
    <n v="0"/>
    <n v="0"/>
    <n v="0"/>
    <n v="0"/>
    <n v="0"/>
    <n v="106"/>
    <n v="100"/>
    <n v="106"/>
  </r>
  <r>
    <s v="UCd0sHnrF1NVw90DF39XEKDQ"/>
    <s v="UCd0sHnrF1NVw90DF39XEKDQ"/>
    <m/>
    <m/>
    <m/>
    <m/>
    <m/>
    <m/>
    <m/>
    <m/>
    <s v="No"/>
    <n v="214"/>
    <m/>
    <m/>
    <s v="Replied Comment"/>
    <x v="1"/>
    <s v="@James Cook Thank you !! you are a rock Star!!!!! i could do that , &lt;br&gt;wanted to take formal training from you , any possibilities online"/>
    <s v="UCd0sHnrF1NVw90DF39XEKDQ"/>
    <s v="Luxmi Verma"/>
    <s v="http://www.youtube.com/channel/UCd0sHnrF1NVw90DF39XEKDQ"/>
    <s v="UgjbVu5aRVHxUHgCoAEC"/>
    <s v="PC-PgkhpsNc"/>
    <s v="https://www.youtube.com/watch?v="/>
    <s v="none"/>
    <n v="0"/>
    <x v="211"/>
    <d v="2015-06-19T09:43:22.000"/>
    <m/>
    <m/>
    <s v=""/>
    <n v="3"/>
    <s v="1"/>
    <s v="1"/>
    <n v="1"/>
    <n v="4.166666666666667"/>
    <n v="0"/>
    <n v="0"/>
    <n v="0"/>
    <n v="0"/>
    <n v="23"/>
    <n v="95.83333333333333"/>
    <n v="24"/>
  </r>
  <r>
    <s v="UCd0sHnrF1NVw90DF39XEKDQ"/>
    <s v="UCerAw4EfTOnYYxLLPZAzMxQ"/>
    <m/>
    <m/>
    <m/>
    <m/>
    <m/>
    <m/>
    <m/>
    <m/>
    <s v="Yes"/>
    <n v="215"/>
    <m/>
    <m/>
    <s v="Commented Video"/>
    <x v="0"/>
    <s v="Hi James , i have data downloaded from Radian 6, how can i import that in node xl"/>
    <s v="UCd0sHnrF1NVw90DF39XEKDQ"/>
    <s v="Luxmi Verma"/>
    <s v="http://www.youtube.com/channel/UCd0sHnrF1NVw90DF39XEKDQ"/>
    <m/>
    <s v="PC-PgkhpsNc"/>
    <s v="https://www.youtube.com/watch?v=PC-PgkhpsNc"/>
    <s v="none"/>
    <n v="0"/>
    <x v="212"/>
    <d v="2015-06-17T11:22:47.000"/>
    <m/>
    <m/>
    <s v=""/>
    <n v="7"/>
    <s v="1"/>
    <s v="1"/>
    <n v="0"/>
    <n v="0"/>
    <n v="0"/>
    <n v="0"/>
    <n v="0"/>
    <n v="0"/>
    <n v="17"/>
    <n v="100"/>
    <n v="17"/>
  </r>
  <r>
    <s v="UCerAw4EfTOnYYxLLPZAzMxQ"/>
    <s v="UCd0sHnrF1NVw90DF39XEKDQ"/>
    <m/>
    <m/>
    <m/>
    <m/>
    <m/>
    <m/>
    <m/>
    <m/>
    <s v="Yes"/>
    <n v="216"/>
    <m/>
    <m/>
    <s v="Replied Comment"/>
    <x v="1"/>
    <s v="@Luxmi Verma Hello again, Luxmi.  I&amp;#39;m not exactly sure what you&amp;#39;re asking, but I &lt;b&gt;think&lt;/b&gt; you&amp;#39;re asking whether it is possible to create a network in which hashtags are nodes (and ties indicate the frequency of co-occurrence) from data in which you have a set of users&amp;#39; tweets.  If that is the question, the answer is a definite YES!  What you would do is enter those tweets into a column in the Edges tab of NodeXL (you can put any value in for Vertex 1 and Vertex 2 for these data).  Then use the command NodeXL-&amp;gt;Graph Metrics-&amp;gt;Words and Word Pairs to create a semantic network as seen here: &lt;a href=&quot;https://www.youtube.com/watch?v=lbb2lMCSg64&quot;&gt;https://www.youtube.com/watch?v=lbb2lMCSg64&lt;/a&gt; .  I hope this helps!"/>
    <s v="UCerAw4EfTOnYYxLLPZAzMxQ"/>
    <s v="James Cook"/>
    <s v="http://www.youtube.com/channel/UCerAw4EfTOnYYxLLPZAzMxQ"/>
    <s v="UgjhDlrOuztNEngCoAEC"/>
    <s v="PC-PgkhpsNc"/>
    <s v="https://www.youtube.com/watch?v=PC-PgkhpsNc"/>
    <s v="none"/>
    <n v="0"/>
    <x v="213"/>
    <d v="2015-07-27T14:53:11.000"/>
    <s v=" https://www.youtube.com/watch?v=lbb2lMCSg64 https://www.youtube.com/watch?v=lbb2lMCSg64"/>
    <s v="youtube.com youtube.com"/>
    <s v=""/>
    <n v="6"/>
    <s v="1"/>
    <s v="1"/>
    <n v="0"/>
    <n v="0"/>
    <n v="0"/>
    <n v="0"/>
    <n v="0"/>
    <n v="0"/>
    <n v="143"/>
    <n v="100"/>
    <n v="143"/>
  </r>
  <r>
    <s v="UCd0sHnrF1NVw90DF39XEKDQ"/>
    <s v="UCerAw4EfTOnYYxLLPZAzMxQ"/>
    <m/>
    <m/>
    <m/>
    <m/>
    <m/>
    <m/>
    <m/>
    <m/>
    <s v="Yes"/>
    <n v="217"/>
    <m/>
    <m/>
    <s v="Commented Video"/>
    <x v="0"/>
    <s v="Hi james i want to visualise Hashtag network , again since i have data from Radian 6 how can i visualise it from tweeter user network , as theses are not giving same coloumn name which u mentioned on hashtag network visualisations - tweeter search network"/>
    <s v="UCd0sHnrF1NVw90DF39XEKDQ"/>
    <s v="Luxmi Verma"/>
    <s v="http://www.youtube.com/channel/UCd0sHnrF1NVw90DF39XEKDQ"/>
    <m/>
    <s v="PC-PgkhpsNc"/>
    <s v="https://www.youtube.com/watch?v=PC-PgkhpsNc"/>
    <s v="none"/>
    <n v="0"/>
    <x v="214"/>
    <d v="2015-07-27T13:59:39.000"/>
    <m/>
    <m/>
    <s v=""/>
    <n v="7"/>
    <s v="1"/>
    <s v="1"/>
    <n v="0"/>
    <n v="0"/>
    <n v="0"/>
    <n v="0"/>
    <n v="0"/>
    <n v="0"/>
    <n v="43"/>
    <n v="100"/>
    <n v="43"/>
  </r>
  <r>
    <s v="UCd0sHnrF1NVw90DF39XEKDQ"/>
    <s v="UCerAw4EfTOnYYxLLPZAzMxQ"/>
    <m/>
    <m/>
    <m/>
    <m/>
    <m/>
    <m/>
    <m/>
    <m/>
    <s v="Yes"/>
    <n v="218"/>
    <m/>
    <m/>
    <s v="Commented Video"/>
    <x v="0"/>
    <s v="so in radian 6 i get data tweet like this &lt;br&gt;&amp;quot;i really &lt;a href=&quot;http://www.youtube.com/results?search_query=%23love&quot;&gt;#love&lt;/a&gt; &lt;a href=&quot;http://www.youtube.com/results?search_query=%23cupcake&quot;&gt;#cupcake&lt;/a&gt; &amp;quot;&lt;br&gt; &lt;br&gt;so will &lt;a href=&quot;http://www.youtube.com/results?search_query=%23love&quot;&gt;#love&lt;/a&gt; will be in vertex1 and cupcake will be in vertex 2?&lt;br&gt;what if only one hashtag is mentioned in a tweet ?&lt;br&gt;or &lt;br&gt;&lt;br&gt;put all tweet in edge tab  how i will find pair , i mean what you mean by put any value in vertex 1 and vertex 2"/>
    <s v="UCd0sHnrF1NVw90DF39XEKDQ"/>
    <s v="Luxmi Verma"/>
    <s v="http://www.youtube.com/channel/UCd0sHnrF1NVw90DF39XEKDQ"/>
    <m/>
    <s v="PC-PgkhpsNc"/>
    <s v="https://www.youtube.com/watch?v=PC-PgkhpsNc"/>
    <s v="none"/>
    <n v="0"/>
    <x v="215"/>
    <d v="2015-07-28T09:32:03.000"/>
    <s v=" http://www.youtube.com/results?search_query=%23love http://www.youtube.com/results?search_query=%23cupcake http://www.youtube.com/results?search_query=%23love"/>
    <s v="youtube.com youtube.com youtube.com"/>
    <s v=""/>
    <n v="7"/>
    <s v="1"/>
    <s v="1"/>
    <n v="3"/>
    <n v="2.8846153846153846"/>
    <n v="0"/>
    <n v="0"/>
    <n v="0"/>
    <n v="0"/>
    <n v="101"/>
    <n v="97.11538461538461"/>
    <n v="104"/>
  </r>
  <r>
    <s v="UCerAw4EfTOnYYxLLPZAzMxQ"/>
    <s v="UC9AMcBHhYQKbFy83LwC70Fg"/>
    <m/>
    <m/>
    <m/>
    <m/>
    <m/>
    <m/>
    <m/>
    <m/>
    <s v="Yes"/>
    <n v="219"/>
    <m/>
    <m/>
    <s v="Replied Comment"/>
    <x v="1"/>
    <s v="+Dan Nunya To enter three vertices into the program, simply head to the vertices tab and enter the name of each vertex in its own row in the first column.&lt;br&gt;&lt;br&gt;I think you may not mean three VERTICES, though, but perhaps something else.  Do you mean three MODES?  If you need further help, please contact me at james.m.cook@maine.edu and I&amp;#39;d be happy to discuss this in greater detail."/>
    <s v="UCerAw4EfTOnYYxLLPZAzMxQ"/>
    <s v="James Cook"/>
    <s v="http://www.youtube.com/channel/UCerAw4EfTOnYYxLLPZAzMxQ"/>
    <s v="UggypM6ymR9-YXgCoAEC"/>
    <s v="PC-PgkhpsNc"/>
    <s v="https://www.youtube.com/watch?v=PC-PgkhpsNc"/>
    <s v="none"/>
    <n v="0"/>
    <x v="216"/>
    <d v="2016-03-23T11:31:45.000"/>
    <m/>
    <m/>
    <s v=""/>
    <n v="1"/>
    <s v="1"/>
    <s v="1"/>
    <n v="1"/>
    <n v="1.3157894736842106"/>
    <n v="0"/>
    <n v="0"/>
    <n v="0"/>
    <n v="0"/>
    <n v="75"/>
    <n v="98.6842105263158"/>
    <n v="76"/>
  </r>
  <r>
    <s v="UC9AMcBHhYQKbFy83LwC70Fg"/>
    <s v="UC9AMcBHhYQKbFy83LwC70Fg"/>
    <m/>
    <m/>
    <m/>
    <m/>
    <m/>
    <m/>
    <m/>
    <m/>
    <s v="No"/>
    <n v="220"/>
    <m/>
    <m/>
    <s v="Replied Comment"/>
    <x v="1"/>
    <s v="sorry professor. i didnt see this post before i wrote you the email. thanks for responding so quickly. the email explains the problem more clearly."/>
    <s v="UC9AMcBHhYQKbFy83LwC70Fg"/>
    <s v="Dan Nunya"/>
    <s v="http://www.youtube.com/channel/UC9AMcBHhYQKbFy83LwC70Fg"/>
    <s v="UggypM6ymR9-YXgCoAEC"/>
    <s v="PC-PgkhpsNc"/>
    <s v="https://www.youtube.com/watch?v=PC-PgkhpsNc"/>
    <s v="none"/>
    <n v="0"/>
    <x v="217"/>
    <d v="2016-03-23T21:02:45.000"/>
    <m/>
    <m/>
    <s v=""/>
    <n v="1"/>
    <s v="1"/>
    <s v="1"/>
    <n v="1"/>
    <n v="4"/>
    <n v="2"/>
    <n v="8"/>
    <n v="0"/>
    <n v="0"/>
    <n v="22"/>
    <n v="88"/>
    <n v="25"/>
  </r>
  <r>
    <s v="UC9AMcBHhYQKbFy83LwC70Fg"/>
    <s v="UCerAw4EfTOnYYxLLPZAzMxQ"/>
    <m/>
    <m/>
    <m/>
    <m/>
    <m/>
    <m/>
    <m/>
    <m/>
    <s v="Yes"/>
    <n v="221"/>
    <m/>
    <m/>
    <s v="Commented Video"/>
    <x v="0"/>
    <s v="I like your tutorials, so I thought I would ask you to help. I am not in your class, but I am struggling with NodeXL. I have an assignment to enter THREE vertices into the program vs two. I can easily place the first two vertices in the NodeXL spreadsheet, but can&amp;#39;t figure out how to put the third into the spreadsheet and still have the graph function show that third list. I&amp;#39;ve been struggling with it for months, and cannot find a tutorial on that, nor is the book any help. Can you please advise?"/>
    <s v="UC9AMcBHhYQKbFy83LwC70Fg"/>
    <s v="Dan Nunya"/>
    <s v="http://www.youtube.com/channel/UC9AMcBHhYQKbFy83LwC70Fg"/>
    <m/>
    <s v="PC-PgkhpsNc"/>
    <s v="https://www.youtube.com/watch?v=PC-PgkhpsNc"/>
    <s v="none"/>
    <n v="0"/>
    <x v="218"/>
    <d v="2016-03-23T03:48:35.000"/>
    <m/>
    <m/>
    <s v=""/>
    <n v="1"/>
    <s v="1"/>
    <s v="1"/>
    <n v="1"/>
    <n v="1"/>
    <n v="2"/>
    <n v="2"/>
    <n v="0"/>
    <n v="0"/>
    <n v="97"/>
    <n v="97"/>
    <n v="100"/>
  </r>
  <r>
    <s v="UCerAw4EfTOnYYxLLPZAzMxQ"/>
    <s v="UCQm-eZonEALK3soY6l1QuCA"/>
    <m/>
    <m/>
    <m/>
    <m/>
    <m/>
    <m/>
    <m/>
    <m/>
    <s v="Yes"/>
    <n v="222"/>
    <m/>
    <m/>
    <s v="Replied Comment"/>
    <x v="1"/>
    <s v="+Nour Abuhadra Unfortunately, that&amp;#39;s due to limitations imposed by Twitter, not a limitation imposed by NodeXL. This means that there&amp;#39;s not any easy workaround for the problem as you encounter it in NodeXL."/>
    <s v="UCerAw4EfTOnYYxLLPZAzMxQ"/>
    <s v="James Cook"/>
    <s v="http://www.youtube.com/channel/UCerAw4EfTOnYYxLLPZAzMxQ"/>
    <s v="Ugi6RvNXtTzNW3gCoAEC"/>
    <s v="PC-PgkhpsNc"/>
    <s v="https://www.youtube.com/watch?v=PC-PgkhpsNc"/>
    <s v="none"/>
    <n v="0"/>
    <x v="219"/>
    <d v="2016-05-09T23:10:43.000"/>
    <m/>
    <m/>
    <s v=""/>
    <n v="2"/>
    <s v="1"/>
    <s v="1"/>
    <n v="1"/>
    <n v="2.7027027027027026"/>
    <n v="4"/>
    <n v="10.81081081081081"/>
    <n v="0"/>
    <n v="0"/>
    <n v="32"/>
    <n v="86.48648648648648"/>
    <n v="37"/>
  </r>
  <r>
    <s v="UCQm-eZonEALK3soY6l1QuCA"/>
    <s v="UCQm-eZonEALK3soY6l1QuCA"/>
    <m/>
    <m/>
    <m/>
    <m/>
    <m/>
    <m/>
    <m/>
    <m/>
    <s v="No"/>
    <n v="223"/>
    <m/>
    <m/>
    <s v="Replied Comment"/>
    <x v="1"/>
    <s v="+James Cook Thank you so much for your help. Do you know any softwares that can assist me in extracting information from Twitter that dates back farther? Or would this limitation occur regardless? I&amp;#39;ve seen some interesting analyses of hashtags that date back over several years (3-4 years) and I&amp;#39;m looking to do a similar thing. Would appreciate any advice you can give! Thanks!"/>
    <s v="UCQm-eZonEALK3soY6l1QuCA"/>
    <s v="Nour Abuhadra"/>
    <s v="http://www.youtube.com/channel/UCQm-eZonEALK3soY6l1QuCA"/>
    <s v="Ugi6RvNXtTzNW3gCoAEC"/>
    <s v="PC-PgkhpsNc"/>
    <s v="https://www.youtube.com/watch?v=PC-PgkhpsNc"/>
    <s v="none"/>
    <n v="0"/>
    <x v="220"/>
    <d v="2016-05-11T18:47:05.000"/>
    <m/>
    <m/>
    <s v=""/>
    <n v="1"/>
    <s v="1"/>
    <s v="1"/>
    <n v="3"/>
    <n v="4.3478260869565215"/>
    <n v="1"/>
    <n v="1.4492753623188406"/>
    <n v="0"/>
    <n v="0"/>
    <n v="65"/>
    <n v="94.20289855072464"/>
    <n v="69"/>
  </r>
  <r>
    <s v="UCerAw4EfTOnYYxLLPZAzMxQ"/>
    <s v="UCQm-eZonEALK3soY6l1QuCA"/>
    <m/>
    <m/>
    <m/>
    <m/>
    <m/>
    <m/>
    <m/>
    <m/>
    <s v="Yes"/>
    <n v="224"/>
    <m/>
    <m/>
    <s v="Replied Comment"/>
    <x v="1"/>
    <s v="@Nour Abuhadra this is most easily done capturing from the Twitter API firehose in the moment (so not headed significantly backwards in time at the moment of data capture).  I unfortunately don&amp;#39;t know of any tricks to get around this Twitter API limitation looking significantly backward in time with many tweets.  If you find a workaround, please let me know!"/>
    <s v="UCerAw4EfTOnYYxLLPZAzMxQ"/>
    <s v="James Cook"/>
    <s v="http://www.youtube.com/channel/UCerAw4EfTOnYYxLLPZAzMxQ"/>
    <s v="Ugi6RvNXtTzNW3gCoAEC"/>
    <s v="PC-PgkhpsNc"/>
    <s v="https://www.youtube.com/watch?v=PC-PgkhpsNc"/>
    <s v="none"/>
    <n v="0"/>
    <x v="221"/>
    <d v="2016-05-12T02:23:40.000"/>
    <m/>
    <m/>
    <s v=""/>
    <n v="2"/>
    <s v="1"/>
    <s v="1"/>
    <n v="0"/>
    <n v="0"/>
    <n v="3"/>
    <n v="4.838709677419355"/>
    <n v="0"/>
    <n v="0"/>
    <n v="59"/>
    <n v="95.16129032258064"/>
    <n v="62"/>
  </r>
  <r>
    <s v="UCQm-eZonEALK3soY6l1QuCA"/>
    <s v="UCerAw4EfTOnYYxLLPZAzMxQ"/>
    <m/>
    <m/>
    <m/>
    <m/>
    <m/>
    <m/>
    <m/>
    <m/>
    <s v="Yes"/>
    <n v="225"/>
    <m/>
    <m/>
    <s v="Commented Video"/>
    <x v="0"/>
    <s v="I had a question. How can I extract data from Twitter if the hashtag was active more than 1 week ago. The version I have seems to be limited by only importing tweets that occurred within the last week on my specific hashtag. I would like to extract information from a meeting that happened in February. I would really appreciate your help! Thanks."/>
    <s v="UCQm-eZonEALK3soY6l1QuCA"/>
    <s v="Nour Abuhadra"/>
    <s v="http://www.youtube.com/channel/UCQm-eZonEALK3soY6l1QuCA"/>
    <m/>
    <s v="PC-PgkhpsNc"/>
    <s v="https://www.youtube.com/watch?v=PC-PgkhpsNc"/>
    <s v="none"/>
    <n v="0"/>
    <x v="222"/>
    <d v="2016-05-09T22:21:31.000"/>
    <m/>
    <m/>
    <s v=""/>
    <n v="1"/>
    <s v="1"/>
    <s v="1"/>
    <n v="2"/>
    <n v="3.1746031746031744"/>
    <n v="1"/>
    <n v="1.5873015873015872"/>
    <n v="0"/>
    <n v="0"/>
    <n v="60"/>
    <n v="95.23809523809524"/>
    <n v="63"/>
  </r>
  <r>
    <s v="UCgeaB9V_kFKh-hU_yGjNvjw"/>
    <s v="UCPvkSOa9uU8mqNMYuGeYq1w"/>
    <m/>
    <m/>
    <m/>
    <m/>
    <m/>
    <m/>
    <m/>
    <m/>
    <s v="No"/>
    <n v="226"/>
    <m/>
    <m/>
    <s v="Replied Comment"/>
    <x v="1"/>
    <s v="In my opinion, one should consider the betweenness centrality but not just consider this criterion as the only one! Closeness centrality and also in/out degree values should be considered :) at least, this is what I&amp;#39;m doing for my master thesis."/>
    <s v="UCgeaB9V_kFKh-hU_yGjNvjw"/>
    <s v="Giada Calamai"/>
    <s v="http://www.youtube.com/channel/UCgeaB9V_kFKh-hU_yGjNvjw"/>
    <s v="UgjbDm4LAgJ_4ngCoAEC"/>
    <s v="PC-PgkhpsNc"/>
    <s v="https://www.youtube.com/watch?v=PC-PgkhpsNc"/>
    <s v="none"/>
    <n v="0"/>
    <x v="223"/>
    <d v="2018-06-21T15:37:19.000"/>
    <m/>
    <m/>
    <s v=""/>
    <n v="1"/>
    <s v="1"/>
    <s v="1"/>
    <n v="1"/>
    <n v="2.3255813953488373"/>
    <n v="0"/>
    <n v="0"/>
    <n v="0"/>
    <n v="0"/>
    <n v="42"/>
    <n v="97.67441860465117"/>
    <n v="43"/>
  </r>
  <r>
    <s v="UCPvkSOa9uU8mqNMYuGeYq1w"/>
    <s v="UCerAw4EfTOnYYxLLPZAzMxQ"/>
    <m/>
    <m/>
    <m/>
    <m/>
    <m/>
    <m/>
    <m/>
    <m/>
    <s v="No"/>
    <n v="227"/>
    <m/>
    <m/>
    <s v="Commented Video"/>
    <x v="0"/>
    <s v="Could the betweeness centrality node be taken as the most influential in the network?"/>
    <s v="UCPvkSOa9uU8mqNMYuGeYq1w"/>
    <s v="Emmanuel Nwofe"/>
    <s v="http://www.youtube.com/channel/UCPvkSOa9uU8mqNMYuGeYq1w"/>
    <m/>
    <s v="PC-PgkhpsNc"/>
    <s v="https://www.youtube.com/watch?v=PC-PgkhpsNc"/>
    <s v="none"/>
    <n v="0"/>
    <x v="224"/>
    <d v="2016-07-06T16:37:52.000"/>
    <m/>
    <m/>
    <s v=""/>
    <n v="1"/>
    <s v="1"/>
    <s v="1"/>
    <n v="1"/>
    <n v="7.142857142857143"/>
    <n v="0"/>
    <n v="0"/>
    <n v="0"/>
    <n v="0"/>
    <n v="13"/>
    <n v="92.85714285714286"/>
    <n v="14"/>
  </r>
  <r>
    <s v="UCerAw4EfTOnYYxLLPZAzMxQ"/>
    <s v="UCnUI6Ssl3FclHjuE2tEYN8w"/>
    <m/>
    <m/>
    <m/>
    <m/>
    <m/>
    <m/>
    <m/>
    <m/>
    <s v="Yes"/>
    <n v="228"/>
    <m/>
    <m/>
    <s v="Replied Comment"/>
    <x v="1"/>
    <s v="Hi, Lena glt. The 2007 version of NodeXL won&amp;#39;t work with Twitter any more because the Twitter API (the way of obtaining data from Twitter&amp;#39;s servers) has since been updated.  You need to use the newest version of NodeXL for it to work with Twitter."/>
    <s v="UCerAw4EfTOnYYxLLPZAzMxQ"/>
    <s v="James Cook"/>
    <s v="http://www.youtube.com/channel/UCerAw4EfTOnYYxLLPZAzMxQ"/>
    <s v="UggkLAE60L1w0ngCoAEC"/>
    <s v="PC-PgkhpsNc"/>
    <s v="https://www.youtube.com/watch?v=PC-PgkhpsNc"/>
    <s v="none"/>
    <n v="2"/>
    <x v="225"/>
    <d v="2016-07-26T21:13:30.000"/>
    <m/>
    <m/>
    <s v=""/>
    <n v="1"/>
    <s v="1"/>
    <s v="1"/>
    <n v="3"/>
    <n v="6.122448979591836"/>
    <n v="0"/>
    <n v="0"/>
    <n v="0"/>
    <n v="0"/>
    <n v="46"/>
    <n v="93.87755102040816"/>
    <n v="49"/>
  </r>
  <r>
    <s v="UCnUI6Ssl3FclHjuE2tEYN8w"/>
    <s v="UCnUI6Ssl3FclHjuE2tEYN8w"/>
    <m/>
    <m/>
    <m/>
    <m/>
    <m/>
    <m/>
    <m/>
    <m/>
    <s v="No"/>
    <n v="229"/>
    <m/>
    <m/>
    <s v="Replied Comment"/>
    <x v="1"/>
    <s v="Professor Cook, thank you for the reply. I tried everything and noticed that the 2007 NodeXl version that you use here can be still used with Twitter, but only if you have Windows 7 and previous versions. It will not work with any Windows after Windows 7."/>
    <s v="UCnUI6Ssl3FclHjuE2tEYN8w"/>
    <s v="Lena glt"/>
    <s v="http://www.youtube.com/channel/UCnUI6Ssl3FclHjuE2tEYN8w"/>
    <s v="UggkLAE60L1w0ngCoAEC"/>
    <s v="PC-PgkhpsNc"/>
    <s v="https://www.youtube.com/watch?v=PC-PgkhpsNc"/>
    <s v="none"/>
    <n v="0"/>
    <x v="226"/>
    <d v="2016-08-30T21:01:34.000"/>
    <m/>
    <m/>
    <s v=""/>
    <n v="1"/>
    <s v="1"/>
    <s v="1"/>
    <n v="2"/>
    <n v="4.25531914893617"/>
    <n v="0"/>
    <n v="0"/>
    <n v="0"/>
    <n v="0"/>
    <n v="45"/>
    <n v="95.74468085106383"/>
    <n v="47"/>
  </r>
  <r>
    <s v="UCnUI6Ssl3FclHjuE2tEYN8w"/>
    <s v="UCerAw4EfTOnYYxLLPZAzMxQ"/>
    <m/>
    <m/>
    <m/>
    <m/>
    <m/>
    <m/>
    <m/>
    <m/>
    <s v="Yes"/>
    <n v="230"/>
    <m/>
    <m/>
    <s v="Commented Video"/>
    <x v="0"/>
    <s v="Dr Cook, thank you for the videos. I&amp;#39;ve been trying to use NodeXl with Twitter. Downloaded the 2007 edition, also installed Excel 2007 to be compatible. Every time i try to do the Import (from either the Twitter search network or Twitter user&amp;#39;s network) it will release the messages like &amp;quot; The network couldn&amp;#39;t be otained {webException} The remote server returned an error: (410) Gone&amp;quot;. &lt;br&gt;What am i doing wrong?"/>
    <s v="UCnUI6Ssl3FclHjuE2tEYN8w"/>
    <s v="Lena glt"/>
    <s v="http://www.youtube.com/channel/UCnUI6Ssl3FclHjuE2tEYN8w"/>
    <m/>
    <s v="PC-PgkhpsNc"/>
    <s v="https://www.youtube.com/watch?v=PC-PgkhpsNc"/>
    <s v="none"/>
    <n v="0"/>
    <x v="227"/>
    <d v="2016-07-26T21:09:51.000"/>
    <m/>
    <m/>
    <s v=""/>
    <n v="1"/>
    <s v="1"/>
    <s v="1"/>
    <n v="4"/>
    <n v="5.128205128205129"/>
    <n v="2"/>
    <n v="2.5641025641025643"/>
    <n v="0"/>
    <n v="0"/>
    <n v="72"/>
    <n v="92.3076923076923"/>
    <n v="78"/>
  </r>
  <r>
    <s v="UCerAw4EfTOnYYxLLPZAzMxQ"/>
    <s v="UC85OOjTRUfgLKNWTMIvPp-Q"/>
    <m/>
    <m/>
    <m/>
    <m/>
    <m/>
    <m/>
    <m/>
    <m/>
    <s v="Yes"/>
    <n v="231"/>
    <m/>
    <m/>
    <s v="Replied Comment"/>
    <x v="1"/>
    <s v="Unfortunately, you don&amp;#39;t. It&amp;#39;s not NodeXL that sets up the limit -- it&amp;#39;s Twitter.  Twitter&amp;#39;s API, through which NodeXL and just about every other Twitter-scraping program accesses Twitter posts, has such a limit built in to prevent resource overuse.  There are ways outside of NodeXL to set up scripts that access small number of Tweets per hour over long periods of time, but that&amp;#39;s really in the class of a Python or R solution, not a NodeXL solution."/>
    <s v="UCerAw4EfTOnYYxLLPZAzMxQ"/>
    <s v="James Cook"/>
    <s v="http://www.youtube.com/channel/UCerAw4EfTOnYYxLLPZAzMxQ"/>
    <s v="Ugglmql1Nc0OV3gCoAEC"/>
    <s v="PC-PgkhpsNc"/>
    <s v="https://www.youtube.com/watch?v=PC-PgkhpsNc"/>
    <s v="none"/>
    <n v="0"/>
    <x v="228"/>
    <d v="2016-10-14T01:18:53.000"/>
    <m/>
    <m/>
    <s v=""/>
    <n v="1"/>
    <s v="1"/>
    <s v="1"/>
    <n v="0"/>
    <n v="0"/>
    <n v="3"/>
    <n v="3.409090909090909"/>
    <n v="0"/>
    <n v="0"/>
    <n v="85"/>
    <n v="96.5909090909091"/>
    <n v="88"/>
  </r>
  <r>
    <s v="UC85OOjTRUfgLKNWTMIvPp-Q"/>
    <s v="UC85OOjTRUfgLKNWTMIvPp-Q"/>
    <m/>
    <m/>
    <m/>
    <m/>
    <m/>
    <m/>
    <m/>
    <m/>
    <s v="No"/>
    <n v="232"/>
    <m/>
    <m/>
    <s v="Replied Comment"/>
    <x v="1"/>
    <s v="Ok, thank you so much"/>
    <s v="UC85OOjTRUfgLKNWTMIvPp-Q"/>
    <s v="Marah Archer"/>
    <s v="http://www.youtube.com/channel/UC85OOjTRUfgLKNWTMIvPp-Q"/>
    <s v="Ugglmql1Nc0OV3gCoAEC"/>
    <s v="PC-PgkhpsNc"/>
    <s v="https://www.youtube.com/watch?v=PC-PgkhpsNc"/>
    <s v="none"/>
    <n v="0"/>
    <x v="229"/>
    <d v="2016-10-14T01:41:17.000"/>
    <m/>
    <m/>
    <s v=""/>
    <n v="1"/>
    <s v="1"/>
    <s v="1"/>
    <n v="1"/>
    <n v="20"/>
    <n v="0"/>
    <n v="0"/>
    <n v="0"/>
    <n v="0"/>
    <n v="4"/>
    <n v="80"/>
    <n v="5"/>
  </r>
  <r>
    <s v="UC85OOjTRUfgLKNWTMIvPp-Q"/>
    <s v="UCerAw4EfTOnYYxLLPZAzMxQ"/>
    <m/>
    <m/>
    <m/>
    <m/>
    <m/>
    <m/>
    <m/>
    <m/>
    <s v="Yes"/>
    <n v="233"/>
    <m/>
    <m/>
    <s v="Commented Video"/>
    <x v="0"/>
    <s v="Hi, Dr. Cook, how do you set up nodexl to import all tweets outside the per hour limit?"/>
    <s v="UC85OOjTRUfgLKNWTMIvPp-Q"/>
    <s v="Marah Archer"/>
    <s v="http://www.youtube.com/channel/UC85OOjTRUfgLKNWTMIvPp-Q"/>
    <m/>
    <s v="PC-PgkhpsNc"/>
    <s v="https://www.youtube.com/watch?v=PC-PgkhpsNc"/>
    <s v="none"/>
    <n v="0"/>
    <x v="230"/>
    <d v="2016-10-13T23:55:13.000"/>
    <m/>
    <m/>
    <s v=""/>
    <n v="1"/>
    <s v="1"/>
    <s v="1"/>
    <n v="0"/>
    <n v="0"/>
    <n v="1"/>
    <n v="5.555555555555555"/>
    <n v="0"/>
    <n v="0"/>
    <n v="17"/>
    <n v="94.44444444444444"/>
    <n v="18"/>
  </r>
  <r>
    <s v="UC4JxISL4zq6bR8fkL0zzxrA"/>
    <s v="UCerAw4EfTOnYYxLLPZAzMxQ"/>
    <m/>
    <m/>
    <m/>
    <m/>
    <m/>
    <m/>
    <m/>
    <m/>
    <s v="No"/>
    <n v="234"/>
    <m/>
    <m/>
    <s v="Commented Video"/>
    <x v="0"/>
    <s v="Hi there, how do you use NodeXL to simply export an account&amp;#39;s network, and which nodes in the network are connected? (As opposed to importing data around themes in tweets). Thank you!"/>
    <s v="UC4JxISL4zq6bR8fkL0zzxrA"/>
    <s v="Gillian Casten"/>
    <s v="http://www.youtube.com/channel/UC4JxISL4zq6bR8fkL0zzxrA"/>
    <m/>
    <s v="PC-PgkhpsNc"/>
    <s v="https://www.youtube.com/watch?v=PC-PgkhpsNc"/>
    <s v="none"/>
    <n v="0"/>
    <x v="231"/>
    <d v="2017-07-29T21:12:10.000"/>
    <m/>
    <m/>
    <s v=""/>
    <n v="1"/>
    <s v="1"/>
    <s v="1"/>
    <n v="1"/>
    <n v="2.9411764705882355"/>
    <n v="0"/>
    <n v="0"/>
    <n v="0"/>
    <n v="0"/>
    <n v="33"/>
    <n v="97.05882352941177"/>
    <n v="34"/>
  </r>
  <r>
    <s v="UCuQ_8nkWLkfwU7LROEKCzfg"/>
    <s v="UC4B0PCHbdzSSzlHORDsaYjQ"/>
    <m/>
    <m/>
    <m/>
    <m/>
    <m/>
    <m/>
    <m/>
    <m/>
    <s v="No"/>
    <n v="235"/>
    <m/>
    <m/>
    <s v="Commented Video"/>
    <x v="0"/>
    <s v="Hello Mr Kellogg, &lt;br&gt;Thank you so much for those videos. Very very helpful ! &lt;br&gt;&lt;br&gt;I have a problem with the dynamic filters...&lt;br&gt;I added &amp;quot;Oher columns&amp;quot; in my vertices worksheet : dates of Birth, Election and Death. &lt;br&gt;Automatically, they appeared in my dynamic filters at first... but I don&amp;#39;t know why one of them disappeared (&amp;quot;election&amp;quot;, which is the most important for me) from the dynamic filters window. &lt;br&gt;It&amp;#39;s still in my worksheet, but there is no range bar for it when I open the Dynamic filters window. I can&amp;#39;t find the way to make it appears again. &lt;br&gt;Could you help me with this issue ? &lt;br&gt;&lt;br&gt;Thanks a lot !"/>
    <s v="UCuQ_8nkWLkfwU7LROEKCzfg"/>
    <s v="Elodie Salmon"/>
    <s v="http://www.youtube.com/channel/UCuQ_8nkWLkfwU7LROEKCzfg"/>
    <m/>
    <s v="yknqOhpUtzQ"/>
    <s v="https://www.youtube.com/watch?v=yknqOhpUtzQ"/>
    <s v="none"/>
    <n v="0"/>
    <x v="232"/>
    <d v="2017-09-27T17:08:43.000"/>
    <m/>
    <m/>
    <s v=""/>
    <n v="1"/>
    <s v="7"/>
    <s v="7"/>
    <n v="7"/>
    <n v="5.6"/>
    <n v="3"/>
    <n v="2.4"/>
    <n v="0"/>
    <n v="0"/>
    <n v="115"/>
    <n v="92"/>
    <n v="125"/>
  </r>
  <r>
    <s v="UCuQ_8nkWLkfwU7LROEKCzfg"/>
    <s v="UCerAw4EfTOnYYxLLPZAzMxQ"/>
    <m/>
    <m/>
    <m/>
    <m/>
    <m/>
    <m/>
    <m/>
    <m/>
    <s v="No"/>
    <n v="236"/>
    <m/>
    <m/>
    <s v="Commented Video"/>
    <x v="0"/>
    <s v="Hi Dr. Cook,  &lt;br&gt;Thank you very much for sharing those methods ! I am an absolute beginner with NodeXL, but I have to learn using it on my own very quickly for my PhD in History. I have 2 problems in the Vertices worksheet :&lt;br&gt;1- for some vertices lines, there are no metrics at all : no degree, no clotheness centrality, no clustering coefficient... nothing ! For 592 vertices, I have all the information, but for 277 others, absolutely nothing. So it only appears 592 vertices in the &amp;quot;overall metrics&amp;quot; worksheet, instead of 869 ! I don&amp;#39;t understand why. I found no reason : some of the &amp;quot;non registered&amp;quot; vertices are linked in edges, some of them not, they are every where in the list... I don&amp;#39;t understand. If I copy and past all my components in a new NodeXL file, it does the same. What can I do ? &lt;br&gt;2- For filter my network, I use the dynamic filter option, which is very useful. But I don&amp;#39;t understand the fonction of the dynamic filter column. It has been automatically fulfilled with &amp;quot;FAUX&amp;quot; or &amp;quot;VRAI&amp;quot;, and I don&amp;#39;t understand the logical here either... I can change from FAUX to VRAI and vice versa but I don&amp;#39;t know what it means. &lt;br&gt;I hope my issues are clearly explained... Thanks so much for helping, &lt;br&gt;ÉS"/>
    <s v="UCuQ_8nkWLkfwU7LROEKCzfg"/>
    <s v="Elodie Salmon"/>
    <s v="http://www.youtube.com/channel/UCuQ_8nkWLkfwU7LROEKCzfg"/>
    <m/>
    <s v="PC-PgkhpsNc"/>
    <s v="https://www.youtube.com/watch?v=PC-PgkhpsNc"/>
    <s v="none"/>
    <n v="0"/>
    <x v="233"/>
    <d v="2017-09-07T12:39:14.000"/>
    <m/>
    <m/>
    <s v=""/>
    <n v="1"/>
    <s v="7"/>
    <s v="1"/>
    <n v="7"/>
    <n v="2.9166666666666665"/>
    <n v="3"/>
    <n v="1.25"/>
    <n v="0"/>
    <n v="0"/>
    <n v="230"/>
    <n v="95.83333333333333"/>
    <n v="240"/>
  </r>
  <r>
    <s v="UCxeLD_unYqcF-hMFfpwP8bA"/>
    <s v="UCerAw4EfTOnYYxLLPZAzMxQ"/>
    <m/>
    <m/>
    <m/>
    <m/>
    <m/>
    <m/>
    <m/>
    <m/>
    <s v="No"/>
    <n v="237"/>
    <m/>
    <m/>
    <s v="Commented Video"/>
    <x v="0"/>
    <s v="Hello Dr. Cook, &lt;br&gt;May I know whether NodeXL still supports twitter? I have the Pro version of it. And it seems like the Twitter Users Network function only imports my followers and people I follow. There is no edge between any other nodes. I clicked on &amp;quot;plus friends and followers&amp;quot;. And according to the image on the right, it should be exactly what I&amp;#39;m looking for. May I know whether you have also encountered this? And if so, what are some good solutions? Thanks a million!"/>
    <s v="UCxeLD_unYqcF-hMFfpwP8bA"/>
    <s v="Rich L"/>
    <s v="http://www.youtube.com/channel/UCxeLD_unYqcF-hMFfpwP8bA"/>
    <m/>
    <s v="PC-PgkhpsNc"/>
    <s v="https://www.youtube.com/watch?v=PC-PgkhpsNc"/>
    <s v="none"/>
    <n v="0"/>
    <x v="234"/>
    <d v="2017-12-01T16:03:02.000"/>
    <m/>
    <m/>
    <s v=""/>
    <n v="1"/>
    <s v="1"/>
    <s v="1"/>
    <n v="4"/>
    <n v="4.395604395604396"/>
    <n v="0"/>
    <n v="0"/>
    <n v="0"/>
    <n v="0"/>
    <n v="87"/>
    <n v="95.6043956043956"/>
    <n v="91"/>
  </r>
  <r>
    <s v="UCgeaB9V_kFKh-hU_yGjNvjw"/>
    <s v="UCerAw4EfTOnYYxLLPZAzMxQ"/>
    <m/>
    <m/>
    <m/>
    <m/>
    <m/>
    <m/>
    <m/>
    <m/>
    <s v="No"/>
    <n v="238"/>
    <m/>
    <m/>
    <s v="Commented Video"/>
    <x v="0"/>
    <s v="Thank you very much Dr. Cook! This video was very useful! I&amp;#39;m currently using Node XL Pro for analysing a network for my master thesis in Communication and Media Research at the University of Fribourg (CH)! I wanted to use both Node XL Pro and Gephi to do my analysis but maybe I don&amp;#39;t need Gephi now that I&amp;#39;ve understood Node XL Pro better, thank you!"/>
    <s v="UCgeaB9V_kFKh-hU_yGjNvjw"/>
    <s v="Giada Calamai"/>
    <s v="http://www.youtube.com/channel/UCgeaB9V_kFKh-hU_yGjNvjw"/>
    <m/>
    <s v="PC-PgkhpsNc"/>
    <s v="https://www.youtube.com/watch?v=PC-PgkhpsNc"/>
    <s v="none"/>
    <n v="0"/>
    <x v="235"/>
    <d v="2018-06-21T15:36:05.000"/>
    <m/>
    <m/>
    <s v=""/>
    <n v="1"/>
    <s v="1"/>
    <s v="1"/>
    <n v="5"/>
    <n v="6.944444444444445"/>
    <n v="0"/>
    <n v="0"/>
    <n v="0"/>
    <n v="0"/>
    <n v="67"/>
    <n v="93.05555555555556"/>
    <n v="72"/>
  </r>
  <r>
    <s v="UC0-d0qMhGZQ1ZpuIZvQGPzA"/>
    <s v="UCerAw4EfTOnYYxLLPZAzMxQ"/>
    <m/>
    <m/>
    <m/>
    <m/>
    <m/>
    <m/>
    <m/>
    <m/>
    <s v="No"/>
    <n v="239"/>
    <m/>
    <m/>
    <s v="Commented Video"/>
    <x v="0"/>
    <s v="Thanks James, you&amp;#39;re life saver for sure. &lt;a href=&quot;http://www.youtube.com/results?search_query=%23BestTeacherIndeed&quot;&gt;#BestTeacherIndeed&lt;/a&gt;"/>
    <s v="UC0-d0qMhGZQ1ZpuIZvQGPzA"/>
    <s v="Rashed N"/>
    <s v="http://www.youtube.com/channel/UC0-d0qMhGZQ1ZpuIZvQGPzA"/>
    <m/>
    <s v="PC-PgkhpsNc"/>
    <s v="https://www.youtube.com/watch?v=PC-PgkhpsNc"/>
    <s v="none"/>
    <n v="4"/>
    <x v="236"/>
    <d v="2018-10-16T06:45:14.000"/>
    <s v=" http://www.youtube.com/results?search_query=%23BestTeacherIndeed"/>
    <s v="youtube.com"/>
    <s v=""/>
    <n v="1"/>
    <s v="1"/>
    <s v="1"/>
    <n v="1"/>
    <n v="5"/>
    <n v="0"/>
    <n v="0"/>
    <n v="0"/>
    <n v="0"/>
    <n v="19"/>
    <n v="95"/>
    <n v="20"/>
  </r>
  <r>
    <s v="UCQhhxor95wtiDxuQdQrljCA"/>
    <s v="UCerAw4EfTOnYYxLLPZAzMxQ"/>
    <m/>
    <m/>
    <m/>
    <m/>
    <m/>
    <m/>
    <m/>
    <m/>
    <s v="No"/>
    <n v="240"/>
    <m/>
    <m/>
    <s v="Commented Video"/>
    <x v="0"/>
    <s v="Thank you, that was very helpful 🙏👍"/>
    <s v="UCQhhxor95wtiDxuQdQrljCA"/>
    <s v="Kuba Dusza"/>
    <s v="http://www.youtube.com/channel/UCQhhxor95wtiDxuQdQrljCA"/>
    <m/>
    <s v="PC-PgkhpsNc"/>
    <s v="https://www.youtube.com/watch?v=PC-PgkhpsNc"/>
    <s v="none"/>
    <n v="0"/>
    <x v="237"/>
    <d v="2019-10-12T05:29:59.000"/>
    <m/>
    <m/>
    <s v=""/>
    <n v="1"/>
    <s v="1"/>
    <s v="1"/>
    <n v="2"/>
    <n v="33.333333333333336"/>
    <n v="0"/>
    <n v="0"/>
    <n v="0"/>
    <n v="0"/>
    <n v="4"/>
    <n v="66.66666666666667"/>
    <n v="6"/>
  </r>
  <r>
    <s v="UCP6YGSaCdnBaF7dShuCR0aA"/>
    <s v="UCerAw4EfTOnYYxLLPZAzMxQ"/>
    <m/>
    <m/>
    <m/>
    <m/>
    <m/>
    <m/>
    <m/>
    <m/>
    <s v="No"/>
    <n v="241"/>
    <m/>
    <m/>
    <s v="Commented Video"/>
    <x v="0"/>
    <s v="thx a lot,was really informative."/>
    <s v="UCP6YGSaCdnBaF7dShuCR0aA"/>
    <s v="venkat jagadeesh"/>
    <s v="http://www.youtube.com/channel/UCP6YGSaCdnBaF7dShuCR0aA"/>
    <m/>
    <s v="PC-PgkhpsNc"/>
    <s v="https://www.youtube.com/watch?v=PC-PgkhpsNc"/>
    <s v="none"/>
    <n v="0"/>
    <x v="238"/>
    <d v="2020-03-12T07:07:37.000"/>
    <m/>
    <m/>
    <s v=""/>
    <n v="1"/>
    <s v="1"/>
    <s v="1"/>
    <n v="0"/>
    <n v="0"/>
    <n v="0"/>
    <n v="0"/>
    <n v="0"/>
    <n v="0"/>
    <n v="6"/>
    <n v="100"/>
    <n v="6"/>
  </r>
  <r>
    <s v="UCTESLPLt2_wAX3ltGs3w09w"/>
    <s v="UCerAw4EfTOnYYxLLPZAzMxQ"/>
    <m/>
    <m/>
    <m/>
    <m/>
    <m/>
    <m/>
    <m/>
    <m/>
    <s v="No"/>
    <n v="242"/>
    <m/>
    <m/>
    <s v="Commented Video"/>
    <x v="0"/>
    <s v="this is very helpful! thankyou"/>
    <s v="UCTESLPLt2_wAX3ltGs3w09w"/>
    <s v="Gladisti Geraldia"/>
    <s v="http://www.youtube.com/channel/UCTESLPLt2_wAX3ltGs3w09w"/>
    <m/>
    <s v="PC-PgkhpsNc"/>
    <s v="https://www.youtube.com/watch?v=PC-PgkhpsNc"/>
    <s v="none"/>
    <n v="0"/>
    <x v="239"/>
    <d v="2020-05-30T19:03:07.000"/>
    <m/>
    <m/>
    <s v=""/>
    <n v="1"/>
    <s v="1"/>
    <s v="1"/>
    <n v="1"/>
    <n v="20"/>
    <n v="0"/>
    <n v="0"/>
    <n v="0"/>
    <n v="0"/>
    <n v="4"/>
    <n v="80"/>
    <n v="5"/>
  </r>
  <r>
    <s v="UCerAw4EfTOnYYxLLPZAzMxQ"/>
    <s v="UCshNH5WXvJ70zeeJkMv6jbQ"/>
    <m/>
    <m/>
    <m/>
    <m/>
    <m/>
    <m/>
    <m/>
    <m/>
    <s v="Yes"/>
    <n v="243"/>
    <m/>
    <m/>
    <s v="Replied Comment"/>
    <x v="1"/>
    <s v="Try just closing down and reopening your NodeXL file."/>
    <s v="UCerAw4EfTOnYYxLLPZAzMxQ"/>
    <s v="James Cook"/>
    <s v="http://www.youtube.com/channel/UCerAw4EfTOnYYxLLPZAzMxQ"/>
    <s v="UgwHD6S1yvKN2VTolhB4AaABAg"/>
    <s v="PC-PgkhpsNc"/>
    <s v="https://www.youtube.com/watch?v=PC-PgkhpsNc"/>
    <s v="none"/>
    <n v="1"/>
    <x v="240"/>
    <d v="2020-11-20T00:12:34.000"/>
    <m/>
    <m/>
    <s v=""/>
    <n v="1"/>
    <s v="1"/>
    <s v="1"/>
    <n v="0"/>
    <n v="0"/>
    <n v="0"/>
    <n v="0"/>
    <n v="0"/>
    <n v="0"/>
    <n v="9"/>
    <n v="100"/>
    <n v="9"/>
  </r>
  <r>
    <s v="UCshNH5WXvJ70zeeJkMv6jbQ"/>
    <s v="UCshNH5WXvJ70zeeJkMv6jbQ"/>
    <m/>
    <m/>
    <m/>
    <m/>
    <m/>
    <m/>
    <m/>
    <m/>
    <s v="No"/>
    <n v="244"/>
    <m/>
    <m/>
    <s v="Replied Comment"/>
    <x v="1"/>
    <s v="@James Cook it didn&amp;#39;t work. I figured it out though! Went to the &amp;quot;view&amp;quot; ribbon and selected the &amp;quot;document actions&amp;quot; button. It doesnt sound related at all but it worked!"/>
    <s v="UCshNH5WXvJ70zeeJkMv6jbQ"/>
    <s v="Robin Nilsson"/>
    <s v="http://www.youtube.com/channel/UCshNH5WXvJ70zeeJkMv6jbQ"/>
    <s v="UgwHD6S1yvKN2VTolhB4AaABAg"/>
    <s v="PC-PgkhpsNc"/>
    <s v="https://www.youtube.com/watch?v=PC-PgkhpsNc"/>
    <s v="none"/>
    <n v="0"/>
    <x v="241"/>
    <d v="2020-11-20T01:16:46.000"/>
    <m/>
    <m/>
    <s v=""/>
    <n v="1"/>
    <s v="1"/>
    <s v="1"/>
    <n v="2"/>
    <n v="5.555555555555555"/>
    <n v="0"/>
    <n v="0"/>
    <n v="0"/>
    <n v="0"/>
    <n v="34"/>
    <n v="94.44444444444444"/>
    <n v="36"/>
  </r>
  <r>
    <s v="UCshNH5WXvJ70zeeJkMv6jbQ"/>
    <s v="UCerAw4EfTOnYYxLLPZAzMxQ"/>
    <m/>
    <m/>
    <m/>
    <m/>
    <m/>
    <m/>
    <m/>
    <m/>
    <s v="Yes"/>
    <n v="245"/>
    <m/>
    <m/>
    <s v="Commented Video"/>
    <x v="0"/>
    <s v="I accidentally x&amp;#39;d out of the graph. How do I make it reappear?"/>
    <s v="UCshNH5WXvJ70zeeJkMv6jbQ"/>
    <s v="Robin Nilsson"/>
    <s v="http://www.youtube.com/channel/UCshNH5WXvJ70zeeJkMv6jbQ"/>
    <m/>
    <s v="PC-PgkhpsNc"/>
    <s v="https://www.youtube.com/watch?v=PC-PgkhpsNc"/>
    <s v="none"/>
    <n v="0"/>
    <x v="242"/>
    <d v="2020-11-20T00:05:26.000"/>
    <m/>
    <m/>
    <s v=""/>
    <n v="1"/>
    <s v="1"/>
    <s v="1"/>
    <n v="0"/>
    <n v="0"/>
    <n v="0"/>
    <n v="0"/>
    <n v="0"/>
    <n v="0"/>
    <n v="15"/>
    <n v="100"/>
    <n v="15"/>
  </r>
  <r>
    <s v="UCeVaJ_1m9gMXcDFX9d1YtXQ"/>
    <s v="UCerAw4EfTOnYYxLLPZAzMxQ"/>
    <m/>
    <m/>
    <m/>
    <m/>
    <m/>
    <m/>
    <m/>
    <m/>
    <s v="No"/>
    <n v="246"/>
    <m/>
    <m/>
    <s v="Commented Video"/>
    <x v="0"/>
    <s v="I WATCH THIS ON 2021, AND IT IS STILL USEFULL. THANKS MAN"/>
    <s v="UCeVaJ_1m9gMXcDFX9d1YtXQ"/>
    <s v="20-018-StefanusLau"/>
    <s v="http://www.youtube.com/channel/UCeVaJ_1m9gMXcDFX9d1YtXQ"/>
    <m/>
    <s v="PC-PgkhpsNc"/>
    <s v="https://www.youtube.com/watch?v=PC-PgkhpsNc"/>
    <s v="none"/>
    <n v="2"/>
    <x v="243"/>
    <d v="2021-01-26T15:46:13.000"/>
    <m/>
    <m/>
    <s v=""/>
    <n v="1"/>
    <s v="1"/>
    <s v="1"/>
    <n v="0"/>
    <n v="0"/>
    <n v="0"/>
    <n v="0"/>
    <n v="0"/>
    <n v="0"/>
    <n v="12"/>
    <n v="100"/>
    <n v="12"/>
  </r>
  <r>
    <s v="UCerAw4EfTOnYYxLLPZAzMxQ"/>
    <s v="UChq3AzwSatOknzk3fglc94w"/>
    <m/>
    <m/>
    <m/>
    <m/>
    <m/>
    <m/>
    <m/>
    <m/>
    <s v="Yes"/>
    <n v="247"/>
    <m/>
    <m/>
    <s v="Replied Comment"/>
    <x v="1"/>
    <s v="Hello, Amina!  I’m not quite sure exactly what’s going on with your data, but if Vertex 2 is blank, then you indeed won’t have a tie described, because you need information regarding two Vertices — Vertex 1 AND Vertex 2 — to characterize a tie. I’m not an employee of NodeXL, so I don’t know quite what might be going on with your data. However, if you would like to send me an email with some screen captures of what you’re doing or the actual NodeXL data sheet, I would be glad to take a look.  My email address is james.m.cook@&lt;a href=&quot;http://maine.edu/&quot;&gt;maine.edu&lt;/a&gt;."/>
    <s v="UCerAw4EfTOnYYxLLPZAzMxQ"/>
    <s v="James Cook"/>
    <s v="http://www.youtube.com/channel/UCerAw4EfTOnYYxLLPZAzMxQ"/>
    <s v="Ugy90ELdOflQDjLz6LB4AaABAg"/>
    <s v="PC-PgkhpsNc"/>
    <s v="https://www.youtube.com/watch?v=PC-PgkhpsNc"/>
    <s v="none"/>
    <n v="0"/>
    <x v="244"/>
    <d v="2021-02-07T21:23:09.000"/>
    <s v=" http://maine.edu/"/>
    <s v="maine.edu"/>
    <s v=""/>
    <n v="1"/>
    <s v="1"/>
    <s v="1"/>
    <n v="3"/>
    <n v="2.608695652173913"/>
    <n v="0"/>
    <n v="0"/>
    <n v="0"/>
    <n v="0"/>
    <n v="112"/>
    <n v="97.3913043478261"/>
    <n v="115"/>
  </r>
  <r>
    <s v="UChq3AzwSatOknzk3fglc94w"/>
    <s v="UCerAw4EfTOnYYxLLPZAzMxQ"/>
    <m/>
    <m/>
    <m/>
    <m/>
    <m/>
    <m/>
    <m/>
    <m/>
    <s v="Yes"/>
    <n v="248"/>
    <m/>
    <m/>
    <s v="Commented Video"/>
    <x v="0"/>
    <s v="Hi James, I&amp;#39;m getting an error message for edges data where the Vertex 2 column is blank - your graph shows outliers so not sure why Nodexl isn&amp;#39;t allowing me to have data to represent outliers?"/>
    <s v="UChq3AzwSatOknzk3fglc94w"/>
    <s v="Amina Gomri"/>
    <s v="http://www.youtube.com/channel/UChq3AzwSatOknzk3fglc94w"/>
    <m/>
    <s v="PC-PgkhpsNc"/>
    <s v="https://www.youtube.com/watch?v=PC-PgkhpsNc"/>
    <s v="none"/>
    <n v="0"/>
    <x v="245"/>
    <d v="2021-02-07T20:28:15.000"/>
    <m/>
    <m/>
    <s v=""/>
    <n v="1"/>
    <s v="1"/>
    <s v="1"/>
    <n v="0"/>
    <n v="0"/>
    <n v="1"/>
    <n v="2.5641025641025643"/>
    <n v="0"/>
    <n v="0"/>
    <n v="38"/>
    <n v="97.43589743589743"/>
    <n v="39"/>
  </r>
  <r>
    <s v="UCr0Eclqtwor1N3uAYG0Z3rw"/>
    <s v="UCerAw4EfTOnYYxLLPZAzMxQ"/>
    <m/>
    <m/>
    <m/>
    <m/>
    <m/>
    <m/>
    <m/>
    <m/>
    <s v="No"/>
    <n v="249"/>
    <m/>
    <m/>
    <s v="Commented Video"/>
    <x v="0"/>
    <s v="Thank you so much for the video! Very detailed and clear"/>
    <s v="UCr0Eclqtwor1N3uAYG0Z3rw"/>
    <s v="Linh Hiền"/>
    <s v="http://www.youtube.com/channel/UCr0Eclqtwor1N3uAYG0Z3rw"/>
    <m/>
    <s v="PC-PgkhpsNc"/>
    <s v="https://www.youtube.com/watch?v=PC-PgkhpsNc"/>
    <s v="none"/>
    <n v="0"/>
    <x v="246"/>
    <d v="2022-01-07T03:20:36.000"/>
    <m/>
    <m/>
    <s v=""/>
    <n v="1"/>
    <s v="1"/>
    <s v="1"/>
    <n v="2"/>
    <n v="18.181818181818183"/>
    <n v="0"/>
    <n v="0"/>
    <n v="0"/>
    <n v="0"/>
    <n v="9"/>
    <n v="81.81818181818181"/>
    <n v="11"/>
  </r>
  <r>
    <s v="UC2uIoW3cCj7GB3UTuEDLV1w"/>
    <s v="UCerAw4EfTOnYYxLLPZAzMxQ"/>
    <m/>
    <m/>
    <m/>
    <m/>
    <m/>
    <m/>
    <m/>
    <m/>
    <s v="No"/>
    <n v="250"/>
    <m/>
    <m/>
    <s v="Commented Video"/>
    <x v="0"/>
    <s v="After 9 years, this video is still helpful. Thank you so much, you save my academic life!"/>
    <s v="UC2uIoW3cCj7GB3UTuEDLV1w"/>
    <s v="Đức Nguyễn"/>
    <s v="http://www.youtube.com/channel/UC2uIoW3cCj7GB3UTuEDLV1w"/>
    <m/>
    <s v="PC-PgkhpsNc"/>
    <s v="https://www.youtube.com/watch?v=PC-PgkhpsNc"/>
    <s v="none"/>
    <n v="0"/>
    <x v="247"/>
    <d v="2022-05-14T04:42:06.000"/>
    <m/>
    <m/>
    <s v=""/>
    <n v="1"/>
    <s v="1"/>
    <s v="1"/>
    <n v="2"/>
    <n v="11.764705882352942"/>
    <n v="0"/>
    <n v="0"/>
    <n v="0"/>
    <n v="0"/>
    <n v="15"/>
    <n v="88.23529411764706"/>
    <n v="17"/>
  </r>
  <r>
    <s v="UCsq8SXE8cep1LI_Y8XfL4jg"/>
    <s v="UCfpw3xq_g1xpdwlyq11atZQ"/>
    <m/>
    <m/>
    <m/>
    <m/>
    <m/>
    <m/>
    <m/>
    <m/>
    <s v="No"/>
    <n v="251"/>
    <m/>
    <m/>
    <s v="Commented Video"/>
    <x v="0"/>
    <s v="Great resource for those just getting started with NodeXL. Thanks very much for posting!"/>
    <s v="UCsq8SXE8cep1LI_Y8XfL4jg"/>
    <s v="DrWhiteChocolateNRok"/>
    <s v="http://www.youtube.com/channel/UCsq8SXE8cep1LI_Y8XfL4jg"/>
    <m/>
    <s v="pwsImFyc0lE"/>
    <s v="https://www.youtube.com/watch?v=pwsImFyc0lE"/>
    <s v="none"/>
    <n v="0"/>
    <x v="248"/>
    <d v="2012-04-18T18:46:16.000"/>
    <m/>
    <m/>
    <s v=""/>
    <n v="1"/>
    <s v="3"/>
    <s v="3"/>
    <n v="1"/>
    <n v="7.142857142857143"/>
    <n v="0"/>
    <n v="0"/>
    <n v="0"/>
    <n v="0"/>
    <n v="13"/>
    <n v="92.85714285714286"/>
    <n v="14"/>
  </r>
  <r>
    <s v="UC6JkDblmdOQF2NFTBJ5_4Ng"/>
    <s v="UCOQy7XDYjkjhb0QwVMwf-7A"/>
    <m/>
    <m/>
    <m/>
    <m/>
    <m/>
    <m/>
    <m/>
    <m/>
    <s v="No"/>
    <n v="252"/>
    <m/>
    <m/>
    <s v="Commented Video"/>
    <x v="0"/>
    <s v="Thank you for the video"/>
    <s v="UC6JkDblmdOQF2NFTBJ5_4Ng"/>
    <s v="Majestic005"/>
    <s v="http://www.youtube.com/channel/UC6JkDblmdOQF2NFTBJ5_4Ng"/>
    <m/>
    <s v="xKhYGRpbwOc"/>
    <s v="https://www.youtube.com/watch?v=xKhYGRpbwOc"/>
    <s v="none"/>
    <n v="0"/>
    <x v="249"/>
    <d v="2014-01-19T10:05:04.000"/>
    <m/>
    <m/>
    <s v=""/>
    <n v="1"/>
    <s v="6"/>
    <s v="6"/>
    <n v="1"/>
    <n v="20"/>
    <n v="0"/>
    <n v="0"/>
    <n v="0"/>
    <n v="0"/>
    <n v="4"/>
    <n v="80"/>
    <n v="5"/>
  </r>
  <r>
    <s v="UC6JkDblmdOQF2NFTBJ5_4Ng"/>
    <s v="UCfpw3xq_g1xpdwlyq11atZQ"/>
    <m/>
    <m/>
    <m/>
    <m/>
    <m/>
    <m/>
    <m/>
    <m/>
    <s v="No"/>
    <n v="253"/>
    <m/>
    <m/>
    <s v="Commented Video"/>
    <x v="0"/>
    <s v="Thank you guys, excellent Job"/>
    <s v="UC6JkDblmdOQF2NFTBJ5_4Ng"/>
    <s v="Majestic005"/>
    <s v="http://www.youtube.com/channel/UC6JkDblmdOQF2NFTBJ5_4Ng"/>
    <m/>
    <s v="pwsImFyc0lE"/>
    <s v="https://www.youtube.com/watch?v=pwsImFyc0lE"/>
    <s v="none"/>
    <n v="0"/>
    <x v="250"/>
    <d v="2014-01-19T10:18:57.000"/>
    <m/>
    <m/>
    <s v=""/>
    <n v="1"/>
    <s v="6"/>
    <s v="3"/>
    <n v="2"/>
    <n v="40"/>
    <n v="0"/>
    <n v="0"/>
    <n v="0"/>
    <n v="0"/>
    <n v="3"/>
    <n v="60"/>
    <n v="5"/>
  </r>
  <r>
    <s v="UC3M0dy_bsmIy5gLcvLHwahg"/>
    <s v="UCfpw3xq_g1xpdwlyq11atZQ"/>
    <m/>
    <m/>
    <m/>
    <m/>
    <m/>
    <m/>
    <m/>
    <m/>
    <s v="No"/>
    <n v="254"/>
    <m/>
    <m/>
    <s v="Commented Video"/>
    <x v="0"/>
    <s v="can we build a weight edged graph with nodeXL?"/>
    <s v="UC3M0dy_bsmIy5gLcvLHwahg"/>
    <s v="Suchetana Gupta"/>
    <s v="http://www.youtube.com/channel/UC3M0dy_bsmIy5gLcvLHwahg"/>
    <m/>
    <s v="pwsImFyc0lE"/>
    <s v="https://www.youtube.com/watch?v=pwsImFyc0lE"/>
    <s v="none"/>
    <n v="1"/>
    <x v="251"/>
    <d v="2015-03-17T07:39:48.000"/>
    <m/>
    <m/>
    <s v=""/>
    <n v="1"/>
    <s v="3"/>
    <s v="3"/>
    <n v="0"/>
    <n v="0"/>
    <n v="0"/>
    <n v="0"/>
    <n v="0"/>
    <n v="0"/>
    <n v="9"/>
    <n v="100"/>
    <n v="9"/>
  </r>
  <r>
    <s v="UC7zED_KFa6-AaMwyUpeSAAQ"/>
    <s v="UCfpw3xq_g1xpdwlyq11atZQ"/>
    <m/>
    <m/>
    <m/>
    <m/>
    <m/>
    <m/>
    <m/>
    <m/>
    <s v="No"/>
    <n v="255"/>
    <m/>
    <m/>
    <s v="Commented Video"/>
    <x v="0"/>
    <s v="not free, not open source though...."/>
    <s v="UC7zED_KFa6-AaMwyUpeSAAQ"/>
    <s v="open-ecommerce.org"/>
    <s v="http://www.youtube.com/channel/UC7zED_KFa6-AaMwyUpeSAAQ"/>
    <m/>
    <s v="pwsImFyc0lE"/>
    <s v="https://www.youtube.com/watch?v=pwsImFyc0lE"/>
    <s v="none"/>
    <n v="1"/>
    <x v="252"/>
    <d v="2016-02-23T20:36:09.000"/>
    <m/>
    <m/>
    <s v=""/>
    <n v="1"/>
    <s v="3"/>
    <s v="3"/>
    <n v="1"/>
    <n v="16.666666666666668"/>
    <n v="0"/>
    <n v="0"/>
    <n v="0"/>
    <n v="0"/>
    <n v="5"/>
    <n v="83.33333333333333"/>
    <n v="6"/>
  </r>
  <r>
    <s v="UCf8SkhKscLmAF_zofz-5VXQ"/>
    <s v="UCewxu9BEC64CfQVzR6vd3cA"/>
    <m/>
    <m/>
    <m/>
    <m/>
    <m/>
    <m/>
    <m/>
    <m/>
    <s v="No"/>
    <n v="256"/>
    <m/>
    <m/>
    <s v="Commented Video"/>
    <x v="0"/>
    <s v="Hi Avkash!&lt;br&gt;&lt;br&gt;I was wondering if you could tell me how to filter tweets by country in Nodexl. Ex: &lt;a href=&quot;http://www.youtube.com/results?search_query=%23adidas&quot;&gt;#adidas&lt;/a&gt; tweets from Mexico only... ?&lt;br&gt;&lt;br&gt;Thanks!"/>
    <s v="UCf8SkhKscLmAF_zofz-5VXQ"/>
    <s v="Alfonso Flores"/>
    <s v="http://www.youtube.com/channel/UCf8SkhKscLmAF_zofz-5VXQ"/>
    <m/>
    <s v="DfVp1zDYNLg"/>
    <s v="https://www.youtube.com/watch?v=DfVp1zDYNLg"/>
    <s v="none"/>
    <n v="0"/>
    <x v="253"/>
    <d v="2017-04-24T19:32:45.000"/>
    <s v=" http://www.youtube.com/results?search_query=%23adidas"/>
    <s v="youtube.com"/>
    <s v=""/>
    <n v="1"/>
    <s v="3"/>
    <s v="3"/>
    <n v="0"/>
    <n v="0"/>
    <n v="0"/>
    <n v="0"/>
    <n v="0"/>
    <n v="0"/>
    <n v="39"/>
    <n v="100"/>
    <n v="39"/>
  </r>
  <r>
    <s v="UCf8SkhKscLmAF_zofz-5VXQ"/>
    <s v="UCerAw4EfTOnYYxLLPZAzMxQ"/>
    <m/>
    <m/>
    <m/>
    <m/>
    <m/>
    <m/>
    <m/>
    <m/>
    <s v="No"/>
    <n v="257"/>
    <m/>
    <m/>
    <s v="Commented Video"/>
    <x v="0"/>
    <s v="Hi Dr. Cook, &lt;br&gt;&lt;br&gt;I was wondering if you can tell me how to filter tweets by region in Nodexl. Ex: &lt;a href=&quot;http://www.youtube.com/results?search_query=%23adidas&quot;&gt;#adidas&lt;/a&gt; tweets from Mexico only...?&lt;br&gt;&lt;br&gt;Thank you!"/>
    <s v="UCf8SkhKscLmAF_zofz-5VXQ"/>
    <s v="Alfonso Flores"/>
    <s v="http://www.youtube.com/channel/UCf8SkhKscLmAF_zofz-5VXQ"/>
    <m/>
    <s v="PC-PgkhpsNc"/>
    <s v="https://www.youtube.com/watch?v=PC-PgkhpsNc"/>
    <s v="none"/>
    <n v="0"/>
    <x v="254"/>
    <d v="2017-04-24T19:31:11.000"/>
    <s v=" http://www.youtube.com/results?search_query=%23adidas"/>
    <s v="youtube.com"/>
    <s v=""/>
    <n v="1"/>
    <s v="3"/>
    <s v="1"/>
    <n v="1"/>
    <n v="2.4390243902439024"/>
    <n v="0"/>
    <n v="0"/>
    <n v="0"/>
    <n v="0"/>
    <n v="40"/>
    <n v="97.5609756097561"/>
    <n v="41"/>
  </r>
  <r>
    <s v="UCf8SkhKscLmAF_zofz-5VXQ"/>
    <s v="UCfpw3xq_g1xpdwlyq11atZQ"/>
    <m/>
    <m/>
    <m/>
    <m/>
    <m/>
    <m/>
    <m/>
    <m/>
    <s v="No"/>
    <n v="258"/>
    <m/>
    <m/>
    <s v="Commented Video"/>
    <x v="0"/>
    <s v="Hi there!&lt;br&gt;&lt;br&gt;I was wondering if you could tell me how to filter tweets by country in Nodexl. Ex: &lt;a href=&quot;http://www.youtube.com/results?search_query=%23adidas&quot;&gt;#adidas&lt;/a&gt; tweets from Mexico only... ?&lt;br&gt;&lt;br&gt;Thanks!"/>
    <s v="UCf8SkhKscLmAF_zofz-5VXQ"/>
    <s v="Alfonso Flores"/>
    <s v="http://www.youtube.com/channel/UCf8SkhKscLmAF_zofz-5VXQ"/>
    <m/>
    <s v="pwsImFyc0lE"/>
    <s v="https://www.youtube.com/watch?v=pwsImFyc0lE"/>
    <s v="none"/>
    <n v="0"/>
    <x v="255"/>
    <d v="2017-04-24T19:33:57.000"/>
    <s v=" http://www.youtube.com/results?search_query=%23adidas"/>
    <s v="youtube.com"/>
    <s v=""/>
    <n v="1"/>
    <s v="3"/>
    <s v="3"/>
    <n v="0"/>
    <n v="0"/>
    <n v="0"/>
    <n v="0"/>
    <n v="0"/>
    <n v="0"/>
    <n v="39"/>
    <n v="100"/>
    <n v="39"/>
  </r>
  <r>
    <s v="UCk1PoOyEAavdmyr0VdVN1Zg"/>
    <s v="UCfpw3xq_g1xpdwlyq11atZQ"/>
    <m/>
    <m/>
    <m/>
    <m/>
    <m/>
    <m/>
    <m/>
    <m/>
    <s v="No"/>
    <n v="259"/>
    <m/>
    <m/>
    <s v="Commented Video"/>
    <x v="0"/>
    <s v="get a real mic you moron, you tie everything you say into a huge web of absolutely garbage, glad your not a teacher, i could tie this all up in 5 minutes cause i know how to make a VIDEO work for me, you stand there with a pencil up your ass... fawk your anoying, i gotta go&lt;br&gt;oh, go fuck yourself"/>
    <s v="UCk1PoOyEAavdmyr0VdVN1Zg"/>
    <s v="Dwayne Harvey"/>
    <s v="http://www.youtube.com/channel/UCk1PoOyEAavdmyr0VdVN1Zg"/>
    <m/>
    <s v="pwsImFyc0lE"/>
    <s v="https://www.youtube.com/watch?v=pwsImFyc0lE"/>
    <s v="none"/>
    <n v="1"/>
    <x v="256"/>
    <d v="2017-09-04T22:05:01.000"/>
    <m/>
    <m/>
    <s v=""/>
    <n v="1"/>
    <s v="3"/>
    <s v="3"/>
    <n v="2"/>
    <n v="3.1746031746031744"/>
    <n v="3"/>
    <n v="4.761904761904762"/>
    <n v="0"/>
    <n v="0"/>
    <n v="58"/>
    <n v="92.06349206349206"/>
    <n v="63"/>
  </r>
  <r>
    <s v="UCxH7QekYGX6Zj7xDozlqXbg"/>
    <s v="UCfpw3xq_g1xpdwlyq11atZQ"/>
    <m/>
    <m/>
    <m/>
    <m/>
    <m/>
    <m/>
    <m/>
    <m/>
    <s v="No"/>
    <n v="260"/>
    <m/>
    <m/>
    <s v="Commented Video"/>
    <x v="0"/>
    <s v="Poor sound quality."/>
    <s v="UCxH7QekYGX6Zj7xDozlqXbg"/>
    <s v="Dan McCreary"/>
    <s v="http://www.youtube.com/channel/UCxH7QekYGX6Zj7xDozlqXbg"/>
    <m/>
    <s v="pwsImFyc0lE"/>
    <s v="https://www.youtube.com/watch?v=pwsImFyc0lE"/>
    <s v="none"/>
    <n v="0"/>
    <x v="257"/>
    <d v="2018-07-01T16:18:46.000"/>
    <m/>
    <m/>
    <s v=""/>
    <n v="1"/>
    <s v="3"/>
    <s v="3"/>
    <n v="0"/>
    <n v="0"/>
    <n v="1"/>
    <n v="33.333333333333336"/>
    <n v="0"/>
    <n v="0"/>
    <n v="2"/>
    <n v="66.66666666666667"/>
    <n v="3"/>
  </r>
  <r>
    <s v="UCerAw4EfTOnYYxLLPZAzMxQ"/>
    <s v="UCKrUAYzPSyq1cBlKN08M6qw"/>
    <m/>
    <m/>
    <m/>
    <m/>
    <m/>
    <m/>
    <m/>
    <m/>
    <s v="Yes"/>
    <n v="261"/>
    <m/>
    <m/>
    <s v="Replied Comment"/>
    <x v="1"/>
    <s v="Dear Miss Davids, I&amp;#39;m not a representative of either Microsoft or the folks who make NodeXL, and they&amp;#39;d be the best folks to ask.  However, I can say from experience that this has happened to my students when one of three things has happened: 1) they&amp;#39;ve got a lot of programs running on their computer or their computer has been booted for a long time and there isn&amp;#39;t a lot of memory available,  2) they&amp;#39;ve had Microsoft Office programs open for a long time and that particular suite of programs has become sluggish, or 3) they&amp;#39;re not working with a full and recent Microsoft Office suite of programs on a Windows machine, but instead are working with an Apple operating system or a less-costly version of Microsoft Office that doesn&amp;#39;t offer full features.  Do any of these apply to your situation?  #1 and #2 can be easily fixed by restarting your program or computer.  #3?  Eh, not so easy -- it&amp;#39;s one of the downsides of NodeXL."/>
    <s v="UCerAw4EfTOnYYxLLPZAzMxQ"/>
    <s v="James Cook"/>
    <s v="http://www.youtube.com/channel/UCerAw4EfTOnYYxLLPZAzMxQ"/>
    <s v="UgzDL7pmu1zHpkOXGrR4AaABAg"/>
    <s v="AyMwPYpmYng"/>
    <s v="https://www.youtube.com/watch?v=AyMwPYpmYng"/>
    <s v="none"/>
    <n v="1"/>
    <x v="258"/>
    <d v="2019-01-20T14:04:27.000"/>
    <m/>
    <m/>
    <s v=""/>
    <n v="1"/>
    <s v="1"/>
    <s v="3"/>
    <n v="3"/>
    <n v="1.639344262295082"/>
    <n v="4"/>
    <n v="2.185792349726776"/>
    <n v="0"/>
    <n v="0"/>
    <n v="176"/>
    <n v="96.17486338797814"/>
    <n v="183"/>
  </r>
  <r>
    <s v="UCKrUAYzPSyq1cBlKN08M6qw"/>
    <s v="UCerAw4EfTOnYYxLLPZAzMxQ"/>
    <m/>
    <m/>
    <m/>
    <m/>
    <m/>
    <m/>
    <m/>
    <m/>
    <s v="Yes"/>
    <n v="262"/>
    <m/>
    <m/>
    <s v="Commented Video"/>
    <x v="0"/>
    <s v="i have downloaded and using nodexl basic but the graph visualization is not displaying on the right at all. can anyone please assist me how i get the graph to display. thanks"/>
    <s v="UCKrUAYzPSyq1cBlKN08M6qw"/>
    <s v="Empress Chariot"/>
    <s v="http://www.youtube.com/channel/UCKrUAYzPSyq1cBlKN08M6qw"/>
    <m/>
    <s v="AyMwPYpmYng"/>
    <s v="https://www.youtube.com/watch?v=AyMwPYpmYng"/>
    <s v="none"/>
    <n v="0"/>
    <x v="259"/>
    <d v="2019-01-19T11:02:55.000"/>
    <m/>
    <m/>
    <s v=""/>
    <n v="2"/>
    <s v="3"/>
    <s v="1"/>
    <n v="1"/>
    <n v="3.125"/>
    <n v="0"/>
    <n v="0"/>
    <n v="0"/>
    <n v="0"/>
    <n v="31"/>
    <n v="96.875"/>
    <n v="32"/>
  </r>
  <r>
    <s v="UCKrUAYzPSyq1cBlKN08M6qw"/>
    <s v="UCerAw4EfTOnYYxLLPZAzMxQ"/>
    <m/>
    <m/>
    <m/>
    <m/>
    <m/>
    <m/>
    <m/>
    <m/>
    <s v="Yes"/>
    <n v="263"/>
    <m/>
    <m/>
    <s v="Commented Video"/>
    <x v="0"/>
    <s v="i have been trying for hours to activate it it keeps giving me pop up messages about entering a license received via email which i have not received and cannot proceed"/>
    <s v="UCKrUAYzPSyq1cBlKN08M6qw"/>
    <s v="Empress Chariot"/>
    <s v="http://www.youtube.com/channel/UCKrUAYzPSyq1cBlKN08M6qw"/>
    <m/>
    <s v="Gs4NPuKIXdo"/>
    <s v="https://www.youtube.com/watch?v=Gs4NPuKIXdo"/>
    <s v="none"/>
    <n v="0"/>
    <x v="260"/>
    <d v="2019-01-01T12:24:14.000"/>
    <m/>
    <m/>
    <s v=""/>
    <n v="2"/>
    <s v="3"/>
    <s v="1"/>
    <n v="0"/>
    <n v="0"/>
    <n v="0"/>
    <n v="0"/>
    <n v="0"/>
    <n v="0"/>
    <n v="31"/>
    <n v="100"/>
    <n v="31"/>
  </r>
  <r>
    <s v="UCKrUAYzPSyq1cBlKN08M6qw"/>
    <s v="UCfpw3xq_g1xpdwlyq11atZQ"/>
    <m/>
    <m/>
    <m/>
    <m/>
    <m/>
    <m/>
    <m/>
    <m/>
    <s v="No"/>
    <n v="264"/>
    <m/>
    <m/>
    <s v="Commented Video"/>
    <x v="0"/>
    <s v="my graph is not appearing on the right"/>
    <s v="UCKrUAYzPSyq1cBlKN08M6qw"/>
    <s v="Empress Chariot"/>
    <s v="http://www.youtube.com/channel/UCKrUAYzPSyq1cBlKN08M6qw"/>
    <m/>
    <s v="pwsImFyc0lE"/>
    <s v="https://www.youtube.com/watch?v=pwsImFyc0lE"/>
    <s v="none"/>
    <n v="0"/>
    <x v="261"/>
    <d v="2019-01-02T22:46:25.000"/>
    <m/>
    <m/>
    <s v=""/>
    <n v="1"/>
    <s v="3"/>
    <s v="3"/>
    <n v="1"/>
    <n v="12.5"/>
    <n v="0"/>
    <n v="0"/>
    <n v="0"/>
    <n v="0"/>
    <n v="7"/>
    <n v="87.5"/>
    <n v="8"/>
  </r>
  <r>
    <s v="UCerAw4EfTOnYYxLLPZAzMxQ"/>
    <s v="UCkLPx3Y2qhbDjUwEQRqLv0A"/>
    <m/>
    <m/>
    <m/>
    <m/>
    <m/>
    <m/>
    <m/>
    <m/>
    <s v="Yes"/>
    <n v="265"/>
    <m/>
    <m/>
    <s v="Replied Comment"/>
    <x v="1"/>
    <s v="Not hard at all.  It&amp;#39;s node shape 11 in the node shape column."/>
    <s v="UCerAw4EfTOnYYxLLPZAzMxQ"/>
    <s v="James Cook"/>
    <s v="http://www.youtube.com/channel/UCerAw4EfTOnYYxLLPZAzMxQ"/>
    <s v="UgwlyCZUCxnxBjbLfol4AaABAg"/>
    <s v="Gs4NPuKIXdo"/>
    <s v="https://www.youtube.com/watch?v=Gs4NPuKIXdo"/>
    <s v="none"/>
    <n v="0"/>
    <x v="262"/>
    <d v="2019-03-12T23:01:56.000"/>
    <m/>
    <m/>
    <s v=""/>
    <n v="1"/>
    <s v="1"/>
    <s v="3"/>
    <n v="0"/>
    <n v="0"/>
    <n v="1"/>
    <n v="6.666666666666667"/>
    <n v="0"/>
    <n v="0"/>
    <n v="14"/>
    <n v="93.33333333333333"/>
    <n v="15"/>
  </r>
  <r>
    <s v="UCkLPx3Y2qhbDjUwEQRqLv0A"/>
    <s v="UCerAw4EfTOnYYxLLPZAzMxQ"/>
    <m/>
    <m/>
    <m/>
    <m/>
    <m/>
    <m/>
    <m/>
    <m/>
    <s v="Yes"/>
    <n v="266"/>
    <m/>
    <m/>
    <s v="Commented Video"/>
    <x v="0"/>
    <s v="Good moring, how do I can insert image intoa node?"/>
    <s v="UCkLPx3Y2qhbDjUwEQRqLv0A"/>
    <s v="Felipe Ribeiro"/>
    <s v="http://www.youtube.com/channel/UCkLPx3Y2qhbDjUwEQRqLv0A"/>
    <m/>
    <s v="Gs4NPuKIXdo"/>
    <s v="https://www.youtube.com/watch?v=Gs4NPuKIXdo"/>
    <s v="none"/>
    <n v="0"/>
    <x v="263"/>
    <d v="2019-03-12T16:48:24.000"/>
    <m/>
    <m/>
    <s v=""/>
    <n v="1"/>
    <s v="3"/>
    <s v="1"/>
    <n v="1"/>
    <n v="10"/>
    <n v="0"/>
    <n v="0"/>
    <n v="0"/>
    <n v="0"/>
    <n v="9"/>
    <n v="90"/>
    <n v="10"/>
  </r>
  <r>
    <s v="UCkLPx3Y2qhbDjUwEQRqLv0A"/>
    <s v="UCfpw3xq_g1xpdwlyq11atZQ"/>
    <m/>
    <m/>
    <m/>
    <m/>
    <m/>
    <m/>
    <m/>
    <m/>
    <s v="No"/>
    <n v="267"/>
    <m/>
    <m/>
    <s v="Commented Video"/>
    <x v="0"/>
    <s v="Good moring, how do I can insert image into a node?"/>
    <s v="UCkLPx3Y2qhbDjUwEQRqLv0A"/>
    <s v="Felipe Ribeiro"/>
    <s v="http://www.youtube.com/channel/UCkLPx3Y2qhbDjUwEQRqLv0A"/>
    <m/>
    <s v="pwsImFyc0lE"/>
    <s v="https://www.youtube.com/watch?v=pwsImFyc0lE"/>
    <s v="none"/>
    <n v="1"/>
    <x v="264"/>
    <d v="2019-03-12T16:46:59.000"/>
    <m/>
    <m/>
    <s v=""/>
    <n v="1"/>
    <s v="3"/>
    <s v="3"/>
    <n v="1"/>
    <n v="9.090909090909092"/>
    <n v="0"/>
    <n v="0"/>
    <n v="0"/>
    <n v="0"/>
    <n v="10"/>
    <n v="90.9090909090909"/>
    <n v="11"/>
  </r>
  <r>
    <s v="UCT2t7sQp0Qyi9dxuckjOWAw"/>
    <s v="UCj-YNRE6g8gXzAaXu-kQ7Og"/>
    <m/>
    <m/>
    <m/>
    <m/>
    <m/>
    <m/>
    <m/>
    <m/>
    <s v="Yes"/>
    <n v="268"/>
    <m/>
    <m/>
    <s v="Replied Comment"/>
    <x v="1"/>
    <s v="Thanks a lot for your validations, Please find more contents in &lt;a href=&quot;http://vivianfrancos.com/&quot;&gt;vivianfrancos.com&lt;/a&gt;"/>
    <s v="UCT2t7sQp0Qyi9dxuckjOWAw"/>
    <s v="Vivian Francos #SeoHashtag Posiciona tu Hashtag"/>
    <s v="http://www.youtube.com/channel/UCT2t7sQp0Qyi9dxuckjOWAw"/>
    <s v="UgyndlUWvHnhc29lHfZ4AaABAg"/>
    <s v="3s6qbWY07FI"/>
    <s v="https://www.youtube.com/watch?v=3s6qbWY07FI"/>
    <s v="none"/>
    <n v="0"/>
    <x v="265"/>
    <d v="2022-04-20T11:00:15.000"/>
    <s v=" http://vivianfrancos.com/"/>
    <s v="vivianfrancos.com"/>
    <s v=""/>
    <n v="1"/>
    <s v="4"/>
    <s v="4"/>
    <n v="0"/>
    <n v="0"/>
    <n v="0"/>
    <n v="0"/>
    <n v="0"/>
    <n v="0"/>
    <n v="19"/>
    <n v="100"/>
    <n v="19"/>
  </r>
  <r>
    <s v="UCj-YNRE6g8gXzAaXu-kQ7Og"/>
    <s v="UCT2t7sQp0Qyi9dxuckjOWAw"/>
    <m/>
    <m/>
    <m/>
    <m/>
    <m/>
    <m/>
    <m/>
    <m/>
    <s v="Yes"/>
    <n v="269"/>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3s6qbWY07FI"/>
    <s v="https://www.youtube.com/watch?v=3s6qbWY07FI"/>
    <s v="none"/>
    <n v="1"/>
    <x v="266"/>
    <d v="2022-04-20T07:06:19.000"/>
    <m/>
    <m/>
    <s v=""/>
    <n v="1"/>
    <s v="4"/>
    <s v="4"/>
    <n v="4"/>
    <n v="13.793103448275861"/>
    <n v="1"/>
    <n v="3.4482758620689653"/>
    <n v="0"/>
    <n v="0"/>
    <n v="24"/>
    <n v="82.75862068965517"/>
    <n v="29"/>
  </r>
  <r>
    <s v="UCj-YNRE6g8gXzAaXu-kQ7Og"/>
    <s v="UCfpw3xq_g1xpdwlyq11atZQ"/>
    <m/>
    <m/>
    <m/>
    <m/>
    <m/>
    <m/>
    <m/>
    <m/>
    <s v="No"/>
    <n v="270"/>
    <m/>
    <m/>
    <s v="Commented Video"/>
    <x v="0"/>
    <s v="Thanks in a million. You got the best stuff on earth! Where have you been all these years."/>
    <s v="UCj-YNRE6g8gXzAaXu-kQ7Og"/>
    <s v="John G"/>
    <s v="http://www.youtube.com/channel/UCj-YNRE6g8gXzAaXu-kQ7Og"/>
    <m/>
    <s v="owl9we4ldFI"/>
    <s v="https://www.youtube.com/watch?v=owl9we4ldFI"/>
    <s v="none"/>
    <n v="0"/>
    <x v="267"/>
    <d v="2019-07-17T08:17:20.000"/>
    <m/>
    <m/>
    <s v=""/>
    <n v="4"/>
    <s v="4"/>
    <s v="3"/>
    <n v="1"/>
    <n v="5.555555555555555"/>
    <n v="0"/>
    <n v="0"/>
    <n v="0"/>
    <n v="0"/>
    <n v="17"/>
    <n v="94.44444444444444"/>
    <n v="18"/>
  </r>
  <r>
    <s v="UCj-YNRE6g8gXzAaXu-kQ7Og"/>
    <s v="UCfpw3xq_g1xpdwlyq11atZQ"/>
    <m/>
    <m/>
    <m/>
    <m/>
    <m/>
    <m/>
    <m/>
    <m/>
    <s v="No"/>
    <n v="271"/>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owl9we4ldFI"/>
    <s v="https://www.youtube.com/watch?v=owl9we4ldFI"/>
    <s v="none"/>
    <n v="0"/>
    <x v="268"/>
    <d v="2022-04-19T21:47:57.000"/>
    <m/>
    <m/>
    <s v=""/>
    <n v="4"/>
    <s v="4"/>
    <s v="3"/>
    <n v="4"/>
    <n v="13.793103448275861"/>
    <n v="1"/>
    <n v="3.4482758620689653"/>
    <n v="0"/>
    <n v="0"/>
    <n v="24"/>
    <n v="82.75862068965517"/>
    <n v="29"/>
  </r>
  <r>
    <s v="UCj-YNRE6g8gXzAaXu-kQ7Og"/>
    <s v="UCqS6Idv3FEU9VQX7-yHwnSw"/>
    <m/>
    <m/>
    <m/>
    <m/>
    <m/>
    <m/>
    <m/>
    <m/>
    <s v="No"/>
    <n v="272"/>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leNjC1CQiow"/>
    <s v="https://www.youtube.com/watch?v=leNjC1CQiow"/>
    <s v="none"/>
    <n v="0"/>
    <x v="269"/>
    <d v="2022-04-21T03:35:12.000"/>
    <m/>
    <m/>
    <s v=""/>
    <n v="1"/>
    <s v="4"/>
    <s v="4"/>
    <n v="4"/>
    <n v="13.793103448275861"/>
    <n v="1"/>
    <n v="3.4482758620689653"/>
    <n v="0"/>
    <n v="0"/>
    <n v="24"/>
    <n v="82.75862068965517"/>
    <n v="29"/>
  </r>
  <r>
    <s v="UCj-YNRE6g8gXzAaXu-kQ7Og"/>
    <s v="UCoHpLfLDotbsVyGvGlsekQA"/>
    <m/>
    <m/>
    <m/>
    <m/>
    <m/>
    <m/>
    <m/>
    <m/>
    <s v="No"/>
    <n v="273"/>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3x-TXaTF3-Y"/>
    <s v="https://www.youtube.com/watch?v=3x-TXaTF3-Y"/>
    <s v="none"/>
    <n v="0"/>
    <x v="270"/>
    <d v="2022-04-20T07:12:42.000"/>
    <m/>
    <m/>
    <s v=""/>
    <n v="1"/>
    <s v="4"/>
    <s v="4"/>
    <n v="4"/>
    <n v="13.793103448275861"/>
    <n v="1"/>
    <n v="3.4482758620689653"/>
    <n v="0"/>
    <n v="0"/>
    <n v="24"/>
    <n v="82.75862068965517"/>
    <n v="29"/>
  </r>
  <r>
    <s v="UCj-YNRE6g8gXzAaXu-kQ7Og"/>
    <s v="UCuyDUN7SDHJd3-UQhX69A9w"/>
    <m/>
    <m/>
    <m/>
    <m/>
    <m/>
    <m/>
    <m/>
    <m/>
    <s v="No"/>
    <n v="274"/>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THdrju-UWjo"/>
    <s v="https://www.youtube.com/watch?v=THdrju-UWjo"/>
    <s v="none"/>
    <n v="1"/>
    <x v="271"/>
    <d v="2022-04-20T07:00:41.000"/>
    <m/>
    <m/>
    <s v=""/>
    <n v="1"/>
    <s v="4"/>
    <s v="4"/>
    <n v="4"/>
    <n v="13.793103448275861"/>
    <n v="1"/>
    <n v="3.4482758620689653"/>
    <n v="0"/>
    <n v="0"/>
    <n v="24"/>
    <n v="82.75862068965517"/>
    <n v="29"/>
  </r>
  <r>
    <s v="UCj-YNRE6g8gXzAaXu-kQ7Og"/>
    <s v="UCnrbbUoV6A2YP0tCJJfJSsg"/>
    <m/>
    <m/>
    <m/>
    <m/>
    <m/>
    <m/>
    <m/>
    <m/>
    <s v="No"/>
    <n v="275"/>
    <m/>
    <m/>
    <s v="Commented Video"/>
    <x v="0"/>
    <s v="Thanks in a million! Very well explained. Great product second to none. This is the nth time that I am watching this again. Great content. Awesome. Grade: A++ 💥"/>
    <s v="UCj-YNRE6g8gXzAaXu-kQ7Og"/>
    <s v="John G"/>
    <s v="http://www.youtube.com/channel/UCj-YNRE6g8gXzAaXu-kQ7Og"/>
    <m/>
    <s v="8lDndBPEDj4"/>
    <s v="https://www.youtube.com/watch?v=8lDndBPEDj4"/>
    <s v="none"/>
    <n v="0"/>
    <x v="272"/>
    <d v="2022-03-22T22:15:40.000"/>
    <m/>
    <m/>
    <s v=""/>
    <n v="2"/>
    <s v="4"/>
    <s v="4"/>
    <n v="4"/>
    <n v="14.285714285714286"/>
    <n v="0"/>
    <n v="0"/>
    <n v="0"/>
    <n v="0"/>
    <n v="24"/>
    <n v="85.71428571428571"/>
    <n v="28"/>
  </r>
  <r>
    <s v="UCj-YNRE6g8gXzAaXu-kQ7Og"/>
    <s v="UCnrbbUoV6A2YP0tCJJfJSsg"/>
    <m/>
    <m/>
    <m/>
    <m/>
    <m/>
    <m/>
    <m/>
    <m/>
    <s v="No"/>
    <n v="276"/>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8lDndBPEDj4"/>
    <s v="https://www.youtube.com/watch?v=8lDndBPEDj4"/>
    <s v="none"/>
    <n v="0"/>
    <x v="273"/>
    <d v="2022-04-20T18:32:38.000"/>
    <m/>
    <m/>
    <s v=""/>
    <n v="2"/>
    <s v="4"/>
    <s v="4"/>
    <n v="4"/>
    <n v="13.793103448275861"/>
    <n v="1"/>
    <n v="3.4482758620689653"/>
    <n v="0"/>
    <n v="0"/>
    <n v="24"/>
    <n v="82.75862068965517"/>
    <n v="29"/>
  </r>
  <r>
    <s v="UCj-YNRE6g8gXzAaXu-kQ7Og"/>
    <s v="UCfpw3xq_g1xpdwlyq11atZQ"/>
    <m/>
    <m/>
    <m/>
    <m/>
    <m/>
    <m/>
    <m/>
    <m/>
    <s v="No"/>
    <n v="277"/>
    <m/>
    <m/>
    <s v="Commented Video"/>
    <x v="0"/>
    <s v="Thanks in a million. You got the best stuff on earth! Where have you been all these years."/>
    <s v="UCj-YNRE6g8gXzAaXu-kQ7Og"/>
    <s v="John G"/>
    <s v="http://www.youtube.com/channel/UCj-YNRE6g8gXzAaXu-kQ7Og"/>
    <m/>
    <s v="pwsImFyc0lE"/>
    <s v="https://www.youtube.com/watch?v=pwsImFyc0lE"/>
    <s v="none"/>
    <n v="0"/>
    <x v="274"/>
    <d v="2019-07-17T08:17:45.000"/>
    <m/>
    <m/>
    <s v=""/>
    <n v="4"/>
    <s v="4"/>
    <s v="3"/>
    <n v="1"/>
    <n v="5.555555555555555"/>
    <n v="0"/>
    <n v="0"/>
    <n v="0"/>
    <n v="0"/>
    <n v="17"/>
    <n v="94.44444444444444"/>
    <n v="18"/>
  </r>
  <r>
    <s v="UCj-YNRE6g8gXzAaXu-kQ7Og"/>
    <s v="UCfpw3xq_g1xpdwlyq11atZQ"/>
    <m/>
    <m/>
    <m/>
    <m/>
    <m/>
    <m/>
    <m/>
    <m/>
    <s v="No"/>
    <n v="278"/>
    <m/>
    <m/>
    <s v="Commented Video"/>
    <x v="0"/>
    <s v="Thanks in a million. You got the best stuff on earth! Where have you been all these years."/>
    <s v="UCj-YNRE6g8gXzAaXu-kQ7Og"/>
    <s v="John G"/>
    <s v="http://www.youtube.com/channel/UCj-YNRE6g8gXzAaXu-kQ7Og"/>
    <m/>
    <s v="pwsImFyc0lE"/>
    <s v="https://www.youtube.com/watch?v=pwsImFyc0lE"/>
    <s v="none"/>
    <n v="2"/>
    <x v="274"/>
    <d v="2019-07-17T08:17:45.000"/>
    <m/>
    <m/>
    <s v=""/>
    <n v="4"/>
    <s v="4"/>
    <s v="3"/>
    <n v="1"/>
    <n v="5.555555555555555"/>
    <n v="0"/>
    <n v="0"/>
    <n v="0"/>
    <n v="0"/>
    <n v="17"/>
    <n v="94.44444444444444"/>
    <n v="18"/>
  </r>
  <r>
    <s v="UCmbTaq_33tRrVi_b7V2zzwg"/>
    <s v="UCfpw3xq_g1xpdwlyq11atZQ"/>
    <m/>
    <m/>
    <m/>
    <m/>
    <m/>
    <m/>
    <m/>
    <m/>
    <s v="No"/>
    <n v="279"/>
    <m/>
    <m/>
    <s v="Commented Video"/>
    <x v="0"/>
    <s v="Great job but not a good sound quality"/>
    <s v="UCmbTaq_33tRrVi_b7V2zzwg"/>
    <s v="Sadiq A"/>
    <s v="http://www.youtube.com/channel/UCmbTaq_33tRrVi_b7V2zzwg"/>
    <m/>
    <s v="pwsImFyc0lE"/>
    <s v="https://www.youtube.com/watch?v=pwsImFyc0lE"/>
    <s v="none"/>
    <n v="1"/>
    <x v="275"/>
    <d v="2019-08-01T23:46:08.000"/>
    <m/>
    <m/>
    <s v=""/>
    <n v="1"/>
    <s v="3"/>
    <s v="3"/>
    <n v="2"/>
    <n v="25"/>
    <n v="0"/>
    <n v="0"/>
    <n v="0"/>
    <n v="0"/>
    <n v="6"/>
    <n v="75"/>
    <n v="8"/>
  </r>
  <r>
    <s v="UC6-_IKv5-IipN6rYvnyoNUg"/>
    <s v="UC6-_IKv5-IipN6rYvnyoNUg"/>
    <m/>
    <m/>
    <m/>
    <m/>
    <m/>
    <m/>
    <m/>
    <m/>
    <s v="No"/>
    <n v="280"/>
    <m/>
    <m/>
    <s v="Posted Video"/>
    <x v="2"/>
    <m/>
    <m/>
    <m/>
    <m/>
    <m/>
    <s v="qYS-obITp8U"/>
    <s v="https://www.youtube.com/watch?v=qYS-obITp8U"/>
    <m/>
    <m/>
    <x v="276"/>
    <m/>
    <m/>
    <m/>
    <m/>
    <n v="1"/>
    <s v="2"/>
    <s v="2"/>
    <m/>
    <m/>
    <m/>
    <m/>
    <m/>
    <m/>
    <m/>
    <m/>
    <m/>
  </r>
  <r>
    <s v="UC0ejCnEOTEswqFo4wd_6N9g"/>
    <s v="UC0ejCnEOTEswqFo4wd_6N9g"/>
    <m/>
    <m/>
    <m/>
    <m/>
    <m/>
    <m/>
    <m/>
    <m/>
    <s v="No"/>
    <n v="281"/>
    <m/>
    <m/>
    <s v="Posted Video"/>
    <x v="2"/>
    <m/>
    <m/>
    <m/>
    <m/>
    <m/>
    <s v="AAk39e00SlY"/>
    <s v="https://www.youtube.com/watch?v=AAk39e00SlY"/>
    <m/>
    <m/>
    <x v="277"/>
    <m/>
    <m/>
    <m/>
    <m/>
    <n v="1"/>
    <s v="2"/>
    <s v="2"/>
    <m/>
    <m/>
    <m/>
    <m/>
    <m/>
    <m/>
    <m/>
    <m/>
    <m/>
  </r>
  <r>
    <s v="UCl3_JxeNm227rFEceAPDi7A"/>
    <s v="UCl3_JxeNm227rFEceAPDi7A"/>
    <m/>
    <m/>
    <m/>
    <m/>
    <m/>
    <m/>
    <m/>
    <m/>
    <s v="No"/>
    <n v="282"/>
    <m/>
    <m/>
    <s v="Posted Video"/>
    <x v="2"/>
    <m/>
    <m/>
    <m/>
    <m/>
    <m/>
    <s v="vi01cIzeiqw"/>
    <s v="https://www.youtube.com/watch?v=vi01cIzeiqw"/>
    <m/>
    <m/>
    <x v="278"/>
    <m/>
    <m/>
    <m/>
    <m/>
    <n v="1"/>
    <s v="25"/>
    <s v="25"/>
    <m/>
    <m/>
    <m/>
    <m/>
    <m/>
    <m/>
    <m/>
    <m/>
    <m/>
  </r>
  <r>
    <s v="UC66vVHIk59YgD3h1mm1KrXQ"/>
    <s v="UC66vVHIk59YgD3h1mm1KrXQ"/>
    <m/>
    <m/>
    <m/>
    <m/>
    <m/>
    <m/>
    <m/>
    <m/>
    <s v="No"/>
    <n v="283"/>
    <m/>
    <m/>
    <s v="Posted Video"/>
    <x v="2"/>
    <m/>
    <m/>
    <m/>
    <m/>
    <m/>
    <s v="XmBgsR82uPo"/>
    <s v="https://www.youtube.com/watch?v=XmBgsR82uPo"/>
    <m/>
    <m/>
    <x v="279"/>
    <m/>
    <m/>
    <m/>
    <m/>
    <n v="1"/>
    <s v="2"/>
    <s v="2"/>
    <m/>
    <m/>
    <m/>
    <m/>
    <m/>
    <m/>
    <m/>
    <m/>
    <m/>
  </r>
  <r>
    <s v="UC4n1n-2l0CaRwTErBeFB_ww"/>
    <s v="UC4n1n-2l0CaRwTErBeFB_ww"/>
    <m/>
    <m/>
    <m/>
    <m/>
    <m/>
    <m/>
    <m/>
    <m/>
    <s v="No"/>
    <n v="284"/>
    <m/>
    <m/>
    <s v="Posted Video"/>
    <x v="2"/>
    <m/>
    <m/>
    <m/>
    <m/>
    <m/>
    <s v="8cNW3OD6I0o"/>
    <s v="https://www.youtube.com/watch?v=8cNW3OD6I0o"/>
    <m/>
    <m/>
    <x v="280"/>
    <m/>
    <m/>
    <m/>
    <m/>
    <n v="1"/>
    <s v="2"/>
    <s v="2"/>
    <m/>
    <m/>
    <m/>
    <m/>
    <m/>
    <m/>
    <m/>
    <m/>
    <m/>
  </r>
  <r>
    <s v="UCyCJVMyIh50PLFp6vCZ6-Zw"/>
    <s v="UCyCJVMyIh50PLFp6vCZ6-Zw"/>
    <m/>
    <m/>
    <m/>
    <m/>
    <m/>
    <m/>
    <m/>
    <m/>
    <s v="No"/>
    <n v="285"/>
    <m/>
    <m/>
    <s v="Posted Video"/>
    <x v="2"/>
    <m/>
    <m/>
    <m/>
    <m/>
    <m/>
    <s v="V5J2bUOoNh8"/>
    <s v="https://www.youtube.com/watch?v=V5J2bUOoNh8"/>
    <m/>
    <m/>
    <x v="281"/>
    <m/>
    <m/>
    <m/>
    <m/>
    <n v="1"/>
    <s v="2"/>
    <s v="2"/>
    <m/>
    <m/>
    <m/>
    <m/>
    <m/>
    <m/>
    <m/>
    <m/>
    <m/>
  </r>
  <r>
    <s v="UCoB94ow_SQUv369e2uhOXSw"/>
    <s v="UCoB94ow_SQUv369e2uhOXSw"/>
    <m/>
    <m/>
    <m/>
    <m/>
    <m/>
    <m/>
    <m/>
    <m/>
    <s v="No"/>
    <n v="286"/>
    <m/>
    <m/>
    <s v="Posted Video"/>
    <x v="2"/>
    <m/>
    <m/>
    <m/>
    <m/>
    <m/>
    <s v="hN3-wTOxrsY"/>
    <s v="https://www.youtube.com/watch?v=hN3-wTOxrsY"/>
    <m/>
    <m/>
    <x v="282"/>
    <m/>
    <m/>
    <m/>
    <m/>
    <n v="1"/>
    <s v="11"/>
    <s v="11"/>
    <m/>
    <m/>
    <m/>
    <m/>
    <m/>
    <m/>
    <m/>
    <m/>
    <m/>
  </r>
  <r>
    <s v="UC7roQpV6qEGtQqPL_d0KlHw"/>
    <s v="UC7roQpV6qEGtQqPL_d0KlHw"/>
    <m/>
    <m/>
    <m/>
    <m/>
    <m/>
    <m/>
    <m/>
    <m/>
    <s v="No"/>
    <n v="287"/>
    <m/>
    <m/>
    <s v="Posted Video"/>
    <x v="2"/>
    <m/>
    <m/>
    <m/>
    <m/>
    <m/>
    <s v="hTnnEnpQkkk"/>
    <s v="https://www.youtube.com/watch?v=hTnnEnpQkkk"/>
    <m/>
    <m/>
    <x v="283"/>
    <m/>
    <m/>
    <m/>
    <m/>
    <n v="1"/>
    <s v="14"/>
    <s v="14"/>
    <m/>
    <m/>
    <m/>
    <m/>
    <m/>
    <m/>
    <m/>
    <m/>
    <m/>
  </r>
  <r>
    <s v="UCQVbb4dGKq_eQU0Urm0imww"/>
    <s v="UCQVbb4dGKq_eQU0Urm0imww"/>
    <m/>
    <m/>
    <m/>
    <m/>
    <m/>
    <m/>
    <m/>
    <m/>
    <s v="No"/>
    <n v="288"/>
    <m/>
    <m/>
    <s v="Posted Video"/>
    <x v="2"/>
    <m/>
    <m/>
    <m/>
    <m/>
    <m/>
    <s v="R544_0CS46g"/>
    <s v="https://www.youtube.com/watch?v=R544_0CS46g"/>
    <m/>
    <m/>
    <x v="284"/>
    <m/>
    <m/>
    <m/>
    <m/>
    <n v="1"/>
    <s v="2"/>
    <s v="2"/>
    <m/>
    <m/>
    <m/>
    <m/>
    <m/>
    <m/>
    <m/>
    <m/>
    <m/>
  </r>
  <r>
    <s v="UCCb9_Kn8F_Opb3UCGm-lILQ"/>
    <s v="UCCb9_Kn8F_Opb3UCGm-lILQ"/>
    <m/>
    <m/>
    <m/>
    <m/>
    <m/>
    <m/>
    <m/>
    <m/>
    <s v="No"/>
    <n v="289"/>
    <m/>
    <m/>
    <s v="Posted Video"/>
    <x v="2"/>
    <m/>
    <m/>
    <m/>
    <m/>
    <m/>
    <s v="imzmS6mzOws"/>
    <s v="https://www.youtube.com/watch?v=imzmS6mzOws"/>
    <m/>
    <m/>
    <x v="285"/>
    <m/>
    <m/>
    <m/>
    <m/>
    <n v="2"/>
    <s v="2"/>
    <s v="2"/>
    <m/>
    <m/>
    <m/>
    <m/>
    <m/>
    <m/>
    <m/>
    <m/>
    <m/>
  </r>
  <r>
    <s v="UCCb9_Kn8F_Opb3UCGm-lILQ"/>
    <s v="UCCb9_Kn8F_Opb3UCGm-lILQ"/>
    <m/>
    <m/>
    <m/>
    <m/>
    <m/>
    <m/>
    <m/>
    <m/>
    <s v="No"/>
    <n v="290"/>
    <m/>
    <m/>
    <s v="Posted Video"/>
    <x v="2"/>
    <m/>
    <m/>
    <m/>
    <m/>
    <m/>
    <s v="mGfzlUpCpxw"/>
    <s v="https://www.youtube.com/watch?v=mGfzlUpCpxw"/>
    <m/>
    <m/>
    <x v="286"/>
    <m/>
    <m/>
    <m/>
    <m/>
    <n v="2"/>
    <s v="2"/>
    <s v="2"/>
    <m/>
    <m/>
    <m/>
    <m/>
    <m/>
    <m/>
    <m/>
    <m/>
    <m/>
  </r>
  <r>
    <s v="UCv0vw-y0YIwqEbU305hhcFg"/>
    <s v="UCv0vw-y0YIwqEbU305hhcFg"/>
    <m/>
    <m/>
    <m/>
    <m/>
    <m/>
    <m/>
    <m/>
    <m/>
    <s v="No"/>
    <n v="291"/>
    <m/>
    <m/>
    <s v="Posted Video"/>
    <x v="2"/>
    <m/>
    <m/>
    <m/>
    <m/>
    <m/>
    <s v="5_mfdaFBRy4"/>
    <s v="https://www.youtube.com/watch?v=5_mfdaFBRy4"/>
    <m/>
    <m/>
    <x v="287"/>
    <m/>
    <m/>
    <m/>
    <m/>
    <n v="1"/>
    <s v="24"/>
    <s v="24"/>
    <m/>
    <m/>
    <m/>
    <m/>
    <m/>
    <m/>
    <m/>
    <m/>
    <m/>
  </r>
  <r>
    <s v="UCPV_4r46H2Qo-jvCJOshyCw"/>
    <s v="UCPV_4r46H2Qo-jvCJOshyCw"/>
    <m/>
    <m/>
    <m/>
    <m/>
    <m/>
    <m/>
    <m/>
    <m/>
    <s v="No"/>
    <n v="292"/>
    <m/>
    <m/>
    <s v="Posted Video"/>
    <x v="2"/>
    <m/>
    <m/>
    <m/>
    <m/>
    <m/>
    <s v="M-7plTokyJ4"/>
    <s v="https://www.youtube.com/watch?v=M-7plTokyJ4"/>
    <m/>
    <m/>
    <x v="288"/>
    <m/>
    <m/>
    <m/>
    <m/>
    <n v="1"/>
    <s v="2"/>
    <s v="2"/>
    <m/>
    <m/>
    <m/>
    <m/>
    <m/>
    <m/>
    <m/>
    <m/>
    <m/>
  </r>
  <r>
    <s v="UCB_X37NbtJ8tXBrYj_4mEHg"/>
    <s v="UCB_X37NbtJ8tXBrYj_4mEHg"/>
    <m/>
    <m/>
    <m/>
    <m/>
    <m/>
    <m/>
    <m/>
    <m/>
    <s v="No"/>
    <n v="293"/>
    <m/>
    <m/>
    <s v="Posted Video"/>
    <x v="2"/>
    <m/>
    <m/>
    <m/>
    <m/>
    <m/>
    <s v="0M3T65Iw3Ac"/>
    <s v="https://www.youtube.com/watch?v=0M3T65Iw3Ac"/>
    <m/>
    <m/>
    <x v="289"/>
    <m/>
    <m/>
    <m/>
    <m/>
    <n v="1"/>
    <s v="23"/>
    <s v="23"/>
    <m/>
    <m/>
    <m/>
    <m/>
    <m/>
    <m/>
    <m/>
    <m/>
    <m/>
  </r>
  <r>
    <s v="UCNciB2joNhQCbcvuS_sf_fQ"/>
    <s v="UCNciB2joNhQCbcvuS_sf_fQ"/>
    <m/>
    <m/>
    <m/>
    <m/>
    <m/>
    <m/>
    <m/>
    <m/>
    <s v="No"/>
    <n v="294"/>
    <m/>
    <m/>
    <s v="Posted Video"/>
    <x v="2"/>
    <m/>
    <m/>
    <m/>
    <m/>
    <m/>
    <s v="fhuWyA2B_m4"/>
    <s v="https://www.youtube.com/watch?v=fhuWyA2B_m4"/>
    <m/>
    <m/>
    <x v="290"/>
    <m/>
    <m/>
    <m/>
    <m/>
    <n v="1"/>
    <s v="2"/>
    <s v="2"/>
    <m/>
    <m/>
    <m/>
    <m/>
    <m/>
    <m/>
    <m/>
    <m/>
    <m/>
  </r>
  <r>
    <s v="UCA6OvhEq-_c8R9hHdJkqp3A"/>
    <s v="UCA6OvhEq-_c8R9hHdJkqp3A"/>
    <m/>
    <m/>
    <m/>
    <m/>
    <m/>
    <m/>
    <m/>
    <m/>
    <s v="No"/>
    <n v="295"/>
    <m/>
    <m/>
    <s v="Posted Video"/>
    <x v="2"/>
    <m/>
    <m/>
    <m/>
    <m/>
    <m/>
    <s v="Ec0agEZ557k"/>
    <s v="https://www.youtube.com/watch?v=Ec0agEZ557k"/>
    <m/>
    <m/>
    <x v="291"/>
    <m/>
    <m/>
    <m/>
    <m/>
    <n v="1"/>
    <s v="2"/>
    <s v="2"/>
    <m/>
    <m/>
    <m/>
    <m/>
    <m/>
    <m/>
    <m/>
    <m/>
    <m/>
  </r>
  <r>
    <s v="UCfYrvWfah8SKHvX-fQ_oLWQ"/>
    <s v="UCfYrvWfah8SKHvX-fQ_oLWQ"/>
    <m/>
    <m/>
    <m/>
    <m/>
    <m/>
    <m/>
    <m/>
    <m/>
    <s v="No"/>
    <n v="296"/>
    <m/>
    <m/>
    <s v="Commented Video"/>
    <x v="0"/>
    <s v="Here is the actual picture in google drive&lt;br&gt;&lt;br&gt;&lt;a href=&quot;https://drive.google.com/file/d/1PbtSxb9-HpDzskfSC5qh5BHOzSlGEPPF/view?usp=sharing&quot;&gt;https://drive.google.com/file/d/1PbtSxb9-HpDzskfSC5qh5BHOzSlGEPPF/view?usp=sharing&lt;/a&gt;"/>
    <s v="UCfYrvWfah8SKHvX-fQ_oLWQ"/>
    <s v="Mika Laiti"/>
    <s v="http://www.youtube.com/channel/UCfYrvWfah8SKHvX-fQ_oLWQ"/>
    <m/>
    <s v="o-D-Duv8Mcs"/>
    <s v="https://www.youtube.com/watch?v=o-D-Duv8Mcs"/>
    <s v="none"/>
    <n v="1"/>
    <x v="292"/>
    <d v="2020-04-02T17:02:03.000"/>
    <s v=" https://drive.google.com/file/d/1PbtSxb9-HpDzskfSC5qh5BHOzSlGEPPF/view?usp=sharing https://drive.google.com/file/d/1PbtSxb9-HpDzskfSC5qh5BHOzSlGEPPF/view?usp=sharing"/>
    <s v="google.com google.com"/>
    <s v=""/>
    <n v="7"/>
    <s v="17"/>
    <s v="17"/>
    <n v="0"/>
    <n v="0"/>
    <n v="0"/>
    <n v="0"/>
    <n v="0"/>
    <n v="0"/>
    <n v="35"/>
    <n v="100"/>
    <n v="35"/>
  </r>
  <r>
    <s v="UCfYrvWfah8SKHvX-fQ_oLWQ"/>
    <s v="UCfYrvWfah8SKHvX-fQ_oLWQ"/>
    <m/>
    <m/>
    <m/>
    <m/>
    <m/>
    <m/>
    <m/>
    <m/>
    <s v="No"/>
    <n v="297"/>
    <m/>
    <m/>
    <s v="Commented Video"/>
    <x v="0"/>
    <s v="more info from&lt;br&gt;&lt;br&gt;&lt;a href=&quot;https://fierbmi.com/&quot;&gt;https://fierbmi.com/&lt;/a&gt;"/>
    <s v="UCfYrvWfah8SKHvX-fQ_oLWQ"/>
    <s v="Mika Laiti"/>
    <s v="http://www.youtube.com/channel/UCfYrvWfah8SKHvX-fQ_oLWQ"/>
    <m/>
    <s v="o-D-Duv8Mcs"/>
    <s v="https://www.youtube.com/watch?v=o-D-Duv8Mcs"/>
    <s v="none"/>
    <n v="1"/>
    <x v="293"/>
    <d v="2020-04-02T17:02:32.000"/>
    <s v=" https://fierbmi.com/ https://fierbmi.com/"/>
    <s v="fierbmi.com fierbmi.com"/>
    <s v=""/>
    <n v="7"/>
    <s v="17"/>
    <s v="17"/>
    <n v="0"/>
    <n v="0"/>
    <n v="0"/>
    <n v="0"/>
    <n v="0"/>
    <n v="0"/>
    <n v="14"/>
    <n v="100"/>
    <n v="14"/>
  </r>
  <r>
    <s v="UCfYrvWfah8SKHvX-fQ_oLWQ"/>
    <s v="UCfYrvWfah8SKHvX-fQ_oLWQ"/>
    <m/>
    <m/>
    <m/>
    <m/>
    <m/>
    <m/>
    <m/>
    <m/>
    <s v="No"/>
    <n v="298"/>
    <m/>
    <m/>
    <s v="Commented Video"/>
    <x v="0"/>
    <s v="link to gephi file&lt;br&gt;&lt;br&gt;&lt;a href=&quot;https://drive.google.com/open?id=1dAYfGszD6TI7S6I0vyZt419CBPZe2lwU&quot;&gt;https://drive.google.com/open?id=1dAYfGszD6TI7S6I0vyZt419CBPZe2lwU&lt;/a&gt;"/>
    <s v="UCfYrvWfah8SKHvX-fQ_oLWQ"/>
    <s v="Mika Laiti"/>
    <s v="http://www.youtube.com/channel/UCfYrvWfah8SKHvX-fQ_oLWQ"/>
    <m/>
    <s v="o-D-Duv8Mcs"/>
    <s v="https://www.youtube.com/watch?v=o-D-Duv8Mcs"/>
    <s v="none"/>
    <n v="0"/>
    <x v="294"/>
    <d v="2020-04-02T17:04:21.000"/>
    <s v=" https://drive.google.com/open?id=1dAYfGszD6TI7S6I0vyZt419CBPZe2lwU https://drive.google.com/open?id=1dAYfGszD6TI7S6I0vyZt419CBPZe2lwU"/>
    <s v="google.com google.com"/>
    <s v=""/>
    <n v="7"/>
    <s v="17"/>
    <s v="17"/>
    <n v="0"/>
    <n v="0"/>
    <n v="0"/>
    <n v="0"/>
    <n v="0"/>
    <n v="0"/>
    <n v="23"/>
    <n v="100"/>
    <n v="23"/>
  </r>
  <r>
    <s v="UCfYrvWfah8SKHvX-fQ_oLWQ"/>
    <s v="UCfYrvWfah8SKHvX-fQ_oLWQ"/>
    <m/>
    <m/>
    <m/>
    <m/>
    <m/>
    <m/>
    <m/>
    <m/>
    <s v="No"/>
    <n v="299"/>
    <m/>
    <m/>
    <s v="Commented Video"/>
    <x v="0"/>
    <s v="Here the original dataset&lt;br&gt;&lt;br&gt;&lt;a href=&quot;http://www.nodexlgraphgallery.org/Pages/Graph.aspx?graphID=224174&quot;&gt;http://www.nodexlgraphgallery.org/Pages/Graph.aspx?graphID=224174&lt;/a&gt;"/>
    <s v="UCfYrvWfah8SKHvX-fQ_oLWQ"/>
    <s v="Mika Laiti"/>
    <s v="http://www.youtube.com/channel/UCfYrvWfah8SKHvX-fQ_oLWQ"/>
    <m/>
    <s v="o-D-Duv8Mcs"/>
    <s v="https://www.youtube.com/watch?v=o-D-Duv8Mcs"/>
    <s v="none"/>
    <n v="1"/>
    <x v="295"/>
    <d v="2020-04-02T17:19:57.000"/>
    <s v=" http://www.nodexlgraphgallery.org/Pages/Graph.aspx?graphID=224174 http://www.nodexlgraphgallery.org/Pages/Graph.aspx?graphID=224174"/>
    <s v="nodexlgraphgallery.org nodexlgraphgallery.org"/>
    <s v=""/>
    <n v="7"/>
    <s v="17"/>
    <s v="17"/>
    <n v="0"/>
    <n v="0"/>
    <n v="0"/>
    <n v="0"/>
    <n v="0"/>
    <n v="0"/>
    <n v="27"/>
    <n v="100"/>
    <n v="27"/>
  </r>
  <r>
    <s v="UCfYrvWfah8SKHvX-fQ_oLWQ"/>
    <s v="UCfYrvWfah8SKHvX-fQ_oLWQ"/>
    <m/>
    <m/>
    <m/>
    <m/>
    <m/>
    <m/>
    <m/>
    <m/>
    <s v="No"/>
    <n v="300"/>
    <m/>
    <m/>
    <s v="Commented Video"/>
    <x v="0"/>
    <s v="My Twitter account. I post a lot stuff like this there&lt;br&gt;&lt;br&gt;&lt;a href=&quot;https://twitter.com/mihkal&quot;&gt;https://twitter.com/mihkal&lt;/a&gt;"/>
    <s v="UCfYrvWfah8SKHvX-fQ_oLWQ"/>
    <s v="Mika Laiti"/>
    <s v="http://www.youtube.com/channel/UCfYrvWfah8SKHvX-fQ_oLWQ"/>
    <m/>
    <s v="o-D-Duv8Mcs"/>
    <s v="https://www.youtube.com/watch?v=o-D-Duv8Mcs"/>
    <s v="none"/>
    <n v="1"/>
    <x v="296"/>
    <d v="2020-04-02T20:19:30.000"/>
    <s v=" https://twitter.com/mihkal https://twitter.com/mihkal"/>
    <s v="twitter.com twitter.com"/>
    <s v=""/>
    <n v="7"/>
    <s v="17"/>
    <s v="17"/>
    <n v="1"/>
    <n v="4.166666666666667"/>
    <n v="0"/>
    <n v="0"/>
    <n v="0"/>
    <n v="0"/>
    <n v="23"/>
    <n v="95.83333333333333"/>
    <n v="24"/>
  </r>
  <r>
    <s v="UCfYrvWfah8SKHvX-fQ_oLWQ"/>
    <s v="UCfYrvWfah8SKHvX-fQ_oLWQ"/>
    <m/>
    <m/>
    <m/>
    <m/>
    <m/>
    <m/>
    <m/>
    <m/>
    <s v="No"/>
    <n v="301"/>
    <m/>
    <m/>
    <s v="Commented Video"/>
    <x v="0"/>
    <s v="This video lacks the part where nodexl workbook data is exported to gexf. &lt;br&gt;it is simple task. Export menu | GEXF"/>
    <s v="UCfYrvWfah8SKHvX-fQ_oLWQ"/>
    <s v="Mika Laiti"/>
    <s v="http://www.youtube.com/channel/UCfYrvWfah8SKHvX-fQ_oLWQ"/>
    <m/>
    <s v="o-D-Duv8Mcs"/>
    <s v="https://www.youtube.com/watch?v=o-D-Duv8Mcs"/>
    <s v="none"/>
    <n v="3"/>
    <x v="297"/>
    <d v="2020-04-03T11:11:28.000"/>
    <m/>
    <m/>
    <s v=""/>
    <n v="7"/>
    <s v="17"/>
    <s v="17"/>
    <n v="0"/>
    <n v="0"/>
    <n v="1"/>
    <n v="4.761904761904762"/>
    <n v="0"/>
    <n v="0"/>
    <n v="20"/>
    <n v="95.23809523809524"/>
    <n v="21"/>
  </r>
  <r>
    <s v="UCfYrvWfah8SKHvX-fQ_oLWQ"/>
    <s v="UCfYrvWfah8SKHvX-fQ_oLWQ"/>
    <m/>
    <m/>
    <m/>
    <m/>
    <m/>
    <m/>
    <m/>
    <m/>
    <s v="No"/>
    <n v="302"/>
    <m/>
    <m/>
    <s v="Posted Video"/>
    <x v="2"/>
    <m/>
    <m/>
    <m/>
    <m/>
    <m/>
    <s v="o-D-Duv8Mcs"/>
    <s v="https://www.youtube.com/watch?v=o-D-Duv8Mcs"/>
    <m/>
    <m/>
    <x v="298"/>
    <m/>
    <m/>
    <m/>
    <m/>
    <n v="7"/>
    <s v="17"/>
    <s v="17"/>
    <m/>
    <m/>
    <m/>
    <m/>
    <m/>
    <m/>
    <m/>
    <m/>
    <m/>
  </r>
  <r>
    <s v="UCOQy7XDYjkjhb0QwVMwf-7A"/>
    <s v="UCo4986VKClJt42gAAOHqWtQ"/>
    <m/>
    <m/>
    <m/>
    <m/>
    <m/>
    <m/>
    <m/>
    <m/>
    <s v="No"/>
    <n v="303"/>
    <m/>
    <m/>
    <s v="Commented Video"/>
    <x v="0"/>
    <s v="Thanks for this video!_x000a__x000a_Your viewers may find it useful to download data sets for NodeXL from the NodeXL Graph Gallery._x000a__x000a_This reduces the time needed to download a large dataset.  The gallery also features some useful examples of how to best visualize a network.  You can download the machine readable instructions for creating many of the networks you see in the gallery by clicking the link: &amp;quot;Download the NodeXL Options Used to Create the Graph&amp;quot;."/>
    <s v="UCOQy7XDYjkjhb0QwVMwf-7A"/>
    <s v="Marc Smith"/>
    <s v="http://www.youtube.com/channel/UCOQy7XDYjkjhb0QwVMwf-7A"/>
    <m/>
    <s v="39yXz72qdow"/>
    <s v="https://www.youtube.com/watch?v=39yXz72qdow"/>
    <s v="none"/>
    <n v="0"/>
    <x v="299"/>
    <d v="2012-04-05T20:27:42.000"/>
    <m/>
    <m/>
    <s v=""/>
    <n v="1"/>
    <s v="6"/>
    <s v="9"/>
    <n v="4"/>
    <n v="5.128205128205129"/>
    <n v="0"/>
    <n v="0"/>
    <n v="0"/>
    <n v="0"/>
    <n v="74"/>
    <n v="94.87179487179488"/>
    <n v="78"/>
  </r>
  <r>
    <s v="UCo4986VKClJt42gAAOHqWtQ"/>
    <s v="UCo4986VKClJt42gAAOHqWtQ"/>
    <m/>
    <m/>
    <m/>
    <m/>
    <m/>
    <m/>
    <m/>
    <m/>
    <s v="No"/>
    <n v="304"/>
    <m/>
    <m/>
    <s v="Posted Video"/>
    <x v="2"/>
    <m/>
    <m/>
    <m/>
    <m/>
    <m/>
    <s v="39yXz72qdow"/>
    <s v="https://www.youtube.com/watch?v=39yXz72qdow"/>
    <m/>
    <m/>
    <x v="300"/>
    <m/>
    <m/>
    <m/>
    <m/>
    <n v="1"/>
    <s v="9"/>
    <s v="9"/>
    <m/>
    <m/>
    <m/>
    <m/>
    <m/>
    <m/>
    <m/>
    <m/>
    <m/>
  </r>
  <r>
    <s v="UCNZfOYWp05qz-k-2UKkfCTA"/>
    <s v="UCNZfOYWp05qz-k-2UKkfCTA"/>
    <m/>
    <m/>
    <m/>
    <m/>
    <m/>
    <m/>
    <m/>
    <m/>
    <s v="No"/>
    <n v="305"/>
    <m/>
    <m/>
    <s v="Posted Video"/>
    <x v="2"/>
    <m/>
    <m/>
    <m/>
    <m/>
    <m/>
    <s v="PbYZl4BZjJ8"/>
    <s v="https://www.youtube.com/watch?v=PbYZl4BZjJ8"/>
    <m/>
    <m/>
    <x v="301"/>
    <m/>
    <m/>
    <m/>
    <m/>
    <n v="1"/>
    <s v="2"/>
    <s v="2"/>
    <m/>
    <m/>
    <m/>
    <m/>
    <m/>
    <m/>
    <m/>
    <m/>
    <m/>
  </r>
  <r>
    <s v="UCo0TNY6-xhfq93AOKF_zDng"/>
    <s v="UCo0TNY6-xhfq93AOKF_zDng"/>
    <m/>
    <m/>
    <m/>
    <m/>
    <m/>
    <m/>
    <m/>
    <m/>
    <s v="No"/>
    <n v="306"/>
    <m/>
    <m/>
    <s v="Posted Video"/>
    <x v="2"/>
    <m/>
    <m/>
    <m/>
    <m/>
    <m/>
    <s v="6syIwTVbrt0"/>
    <s v="https://www.youtube.com/watch?v=6syIwTVbrt0"/>
    <m/>
    <m/>
    <x v="302"/>
    <m/>
    <m/>
    <m/>
    <m/>
    <n v="1"/>
    <s v="2"/>
    <s v="2"/>
    <m/>
    <m/>
    <m/>
    <m/>
    <m/>
    <m/>
    <m/>
    <m/>
    <m/>
  </r>
  <r>
    <s v="UCudmJpNyT3lLYSTkmkhDm8w"/>
    <s v="UCudmJpNyT3lLYSTkmkhDm8w"/>
    <m/>
    <m/>
    <m/>
    <m/>
    <m/>
    <m/>
    <m/>
    <m/>
    <s v="No"/>
    <n v="307"/>
    <m/>
    <m/>
    <s v="Posted Video"/>
    <x v="2"/>
    <m/>
    <m/>
    <m/>
    <m/>
    <m/>
    <s v="hVfI1U7uHR4"/>
    <s v="https://www.youtube.com/watch?v=hVfI1U7uHR4"/>
    <m/>
    <m/>
    <x v="303"/>
    <m/>
    <m/>
    <m/>
    <m/>
    <n v="1"/>
    <s v="13"/>
    <s v="13"/>
    <m/>
    <m/>
    <m/>
    <m/>
    <m/>
    <m/>
    <m/>
    <m/>
    <m/>
  </r>
  <r>
    <s v="UCcBoleECTMUEbXqg2AZNHdg"/>
    <s v="UCcBoleECTMUEbXqg2AZNHdg"/>
    <m/>
    <m/>
    <m/>
    <m/>
    <m/>
    <m/>
    <m/>
    <m/>
    <s v="No"/>
    <n v="308"/>
    <m/>
    <m/>
    <s v="Commented Video"/>
    <x v="0"/>
    <s v="@Marc Smith explains social network analysis in this chat with social media metrics students at the University of Nebraska at Omaha."/>
    <s v="UCcBoleECTMUEbXqg2AZNHdg"/>
    <s v="Jeremy Harris Lipschultz"/>
    <s v="http://www.youtube.com/channel/UCcBoleECTMUEbXqg2AZNHdg"/>
    <m/>
    <s v="4joYD7ye-R0"/>
    <s v="https://www.youtube.com/watch?v=4joYD7ye-R0"/>
    <s v="none"/>
    <n v="0"/>
    <x v="304"/>
    <d v="2015-07-28T02:20:21.000"/>
    <m/>
    <m/>
    <s v=""/>
    <n v="2"/>
    <s v="2"/>
    <s v="2"/>
    <n v="0"/>
    <n v="0"/>
    <n v="0"/>
    <n v="0"/>
    <n v="0"/>
    <n v="0"/>
    <n v="21"/>
    <n v="100"/>
    <n v="21"/>
  </r>
  <r>
    <s v="UCcBoleECTMUEbXqg2AZNHdg"/>
    <s v="UCcBoleECTMUEbXqg2AZNHdg"/>
    <m/>
    <m/>
    <m/>
    <m/>
    <m/>
    <m/>
    <m/>
    <m/>
    <s v="No"/>
    <n v="309"/>
    <m/>
    <m/>
    <s v="Posted Video"/>
    <x v="2"/>
    <m/>
    <m/>
    <m/>
    <m/>
    <m/>
    <s v="4joYD7ye-R0"/>
    <s v="https://www.youtube.com/watch?v=4joYD7ye-R0"/>
    <m/>
    <m/>
    <x v="305"/>
    <m/>
    <m/>
    <m/>
    <m/>
    <n v="2"/>
    <s v="2"/>
    <s v="2"/>
    <m/>
    <m/>
    <m/>
    <m/>
    <m/>
    <m/>
    <m/>
    <m/>
    <m/>
  </r>
  <r>
    <s v="UCT2t7sQp0Qyi9dxuckjOWAw"/>
    <s v="UCT2t7sQp0Qyi9dxuckjOWAw"/>
    <m/>
    <m/>
    <m/>
    <m/>
    <m/>
    <m/>
    <m/>
    <m/>
    <s v="No"/>
    <n v="310"/>
    <m/>
    <m/>
    <s v="Commented Video"/>
    <x v="0"/>
    <s v="ENLACE PARA TRADUCIR TEXTO DEL VIDEO  &lt;a href=&quot;https://docs.google.com/document/d/1GdYAVkfBXcNrpG_b_EAZwHldbSvUpY3GFjEESWu474c/edit?usp=sharing&quot;&gt;https://docs.google.com/document/d/1GdYAVkfBXcNrpG_b_EAZwHldbSvUpY3GFjEESWu474c/edit?usp=sharing&lt;/a&gt;"/>
    <s v="UCT2t7sQp0Qyi9dxuckjOWAw"/>
    <s v="Vivian Francos #SeoHashtag Posiciona tu Hashtag"/>
    <s v="http://www.youtube.com/channel/UCT2t7sQp0Qyi9dxuckjOWAw"/>
    <m/>
    <s v="ETE3foyjx_E"/>
    <s v="https://www.youtube.com/watch?v=ETE3foyjx_E"/>
    <s v="none"/>
    <n v="0"/>
    <x v="306"/>
    <d v="2019-10-26T16:52:11.000"/>
    <s v=" https://docs.google.com/document/d/1GdYAVkfBXcNrpG_b_EAZwHldbSvUpY3GFjEESWu474c/edit?usp=sharing https://docs.google.com/document/d/1GdYAVkfBXcNrpG_b_EAZwHldbSvUpY3GFjEESWu474c/edit?usp=sharing"/>
    <s v="google.com google.com"/>
    <s v=""/>
    <n v="3"/>
    <s v="4"/>
    <s v="4"/>
    <n v="0"/>
    <n v="0"/>
    <n v="0"/>
    <n v="0"/>
    <n v="0"/>
    <n v="0"/>
    <n v="29"/>
    <n v="100"/>
    <n v="29"/>
  </r>
  <r>
    <s v="UCT2t7sQp0Qyi9dxuckjOWAw"/>
    <s v="UCT2t7sQp0Qyi9dxuckjOWAw"/>
    <m/>
    <m/>
    <m/>
    <m/>
    <m/>
    <m/>
    <m/>
    <m/>
    <s v="No"/>
    <n v="311"/>
    <m/>
    <m/>
    <s v="Posted Video"/>
    <x v="2"/>
    <m/>
    <m/>
    <m/>
    <m/>
    <m/>
    <s v="3s6qbWY07FI"/>
    <s v="https://www.youtube.com/watch?v=3s6qbWY07FI"/>
    <m/>
    <m/>
    <x v="307"/>
    <m/>
    <m/>
    <m/>
    <m/>
    <n v="3"/>
    <s v="4"/>
    <s v="4"/>
    <m/>
    <m/>
    <m/>
    <m/>
    <m/>
    <m/>
    <m/>
    <m/>
    <m/>
  </r>
  <r>
    <s v="UCT2t7sQp0Qyi9dxuckjOWAw"/>
    <s v="UCT2t7sQp0Qyi9dxuckjOWAw"/>
    <m/>
    <m/>
    <m/>
    <m/>
    <m/>
    <m/>
    <m/>
    <m/>
    <s v="No"/>
    <n v="312"/>
    <m/>
    <m/>
    <s v="Posted Video"/>
    <x v="2"/>
    <m/>
    <m/>
    <m/>
    <m/>
    <m/>
    <s v="ETE3foyjx_E"/>
    <s v="https://www.youtube.com/watch?v=ETE3foyjx_E"/>
    <m/>
    <m/>
    <x v="308"/>
    <m/>
    <m/>
    <m/>
    <m/>
    <n v="3"/>
    <s v="4"/>
    <s v="4"/>
    <m/>
    <m/>
    <m/>
    <m/>
    <m/>
    <m/>
    <m/>
    <m/>
    <m/>
  </r>
  <r>
    <s v="UCgGajeuaTuh2HMsWDSnsD7Q"/>
    <s v="UCgGajeuaTuh2HMsWDSnsD7Q"/>
    <m/>
    <m/>
    <m/>
    <m/>
    <m/>
    <m/>
    <m/>
    <m/>
    <s v="No"/>
    <n v="313"/>
    <m/>
    <m/>
    <s v="Posted Video"/>
    <x v="2"/>
    <m/>
    <m/>
    <m/>
    <m/>
    <m/>
    <s v="IUlPHNXUDFI"/>
    <s v="https://www.youtube.com/watch?v=IUlPHNXUDFI"/>
    <m/>
    <m/>
    <x v="309"/>
    <m/>
    <m/>
    <m/>
    <m/>
    <n v="6"/>
    <s v="2"/>
    <s v="2"/>
    <m/>
    <m/>
    <m/>
    <m/>
    <m/>
    <m/>
    <m/>
    <m/>
    <m/>
  </r>
  <r>
    <s v="UCgGajeuaTuh2HMsWDSnsD7Q"/>
    <s v="UCgGajeuaTuh2HMsWDSnsD7Q"/>
    <m/>
    <m/>
    <m/>
    <m/>
    <m/>
    <m/>
    <m/>
    <m/>
    <s v="No"/>
    <n v="314"/>
    <m/>
    <m/>
    <s v="Posted Video"/>
    <x v="2"/>
    <m/>
    <m/>
    <m/>
    <m/>
    <m/>
    <s v="WoFbiZxNGt4"/>
    <s v="https://www.youtube.com/watch?v=WoFbiZxNGt4"/>
    <m/>
    <m/>
    <x v="310"/>
    <m/>
    <m/>
    <m/>
    <m/>
    <n v="6"/>
    <s v="2"/>
    <s v="2"/>
    <m/>
    <m/>
    <m/>
    <m/>
    <m/>
    <m/>
    <m/>
    <m/>
    <m/>
  </r>
  <r>
    <s v="UCgGajeuaTuh2HMsWDSnsD7Q"/>
    <s v="UCgGajeuaTuh2HMsWDSnsD7Q"/>
    <m/>
    <m/>
    <m/>
    <m/>
    <m/>
    <m/>
    <m/>
    <m/>
    <s v="No"/>
    <n v="315"/>
    <m/>
    <m/>
    <s v="Posted Video"/>
    <x v="2"/>
    <m/>
    <m/>
    <m/>
    <m/>
    <m/>
    <s v="MtpFeGA-57Y"/>
    <s v="https://www.youtube.com/watch?v=MtpFeGA-57Y"/>
    <m/>
    <m/>
    <x v="311"/>
    <m/>
    <m/>
    <m/>
    <m/>
    <n v="6"/>
    <s v="2"/>
    <s v="2"/>
    <m/>
    <m/>
    <m/>
    <m/>
    <m/>
    <m/>
    <m/>
    <m/>
    <m/>
  </r>
  <r>
    <s v="UCgGajeuaTuh2HMsWDSnsD7Q"/>
    <s v="UCgGajeuaTuh2HMsWDSnsD7Q"/>
    <m/>
    <m/>
    <m/>
    <m/>
    <m/>
    <m/>
    <m/>
    <m/>
    <s v="No"/>
    <n v="316"/>
    <m/>
    <m/>
    <s v="Posted Video"/>
    <x v="2"/>
    <m/>
    <m/>
    <m/>
    <m/>
    <m/>
    <s v="zg1s4bF59Ss"/>
    <s v="https://www.youtube.com/watch?v=zg1s4bF59Ss"/>
    <m/>
    <m/>
    <x v="312"/>
    <m/>
    <m/>
    <m/>
    <m/>
    <n v="6"/>
    <s v="2"/>
    <s v="2"/>
    <m/>
    <m/>
    <m/>
    <m/>
    <m/>
    <m/>
    <m/>
    <m/>
    <m/>
  </r>
  <r>
    <s v="UCgGajeuaTuh2HMsWDSnsD7Q"/>
    <s v="UCgGajeuaTuh2HMsWDSnsD7Q"/>
    <m/>
    <m/>
    <m/>
    <m/>
    <m/>
    <m/>
    <m/>
    <m/>
    <s v="No"/>
    <n v="317"/>
    <m/>
    <m/>
    <s v="Posted Video"/>
    <x v="2"/>
    <m/>
    <m/>
    <m/>
    <m/>
    <m/>
    <s v="gYfi-UXg0RE"/>
    <s v="https://www.youtube.com/watch?v=gYfi-UXg0RE"/>
    <m/>
    <m/>
    <x v="313"/>
    <m/>
    <m/>
    <m/>
    <m/>
    <n v="6"/>
    <s v="2"/>
    <s v="2"/>
    <m/>
    <m/>
    <m/>
    <m/>
    <m/>
    <m/>
    <m/>
    <m/>
    <m/>
  </r>
  <r>
    <s v="UCgGajeuaTuh2HMsWDSnsD7Q"/>
    <s v="UCgGajeuaTuh2HMsWDSnsD7Q"/>
    <m/>
    <m/>
    <m/>
    <m/>
    <m/>
    <m/>
    <m/>
    <m/>
    <s v="No"/>
    <n v="318"/>
    <m/>
    <m/>
    <s v="Posted Video"/>
    <x v="2"/>
    <m/>
    <m/>
    <m/>
    <m/>
    <m/>
    <s v="BYS8gVQMH7I"/>
    <s v="https://www.youtube.com/watch?v=BYS8gVQMH7I"/>
    <m/>
    <m/>
    <x v="314"/>
    <m/>
    <m/>
    <m/>
    <m/>
    <n v="6"/>
    <s v="2"/>
    <s v="2"/>
    <m/>
    <m/>
    <m/>
    <m/>
    <m/>
    <m/>
    <m/>
    <m/>
    <m/>
  </r>
  <r>
    <s v="UCOQy7XDYjkjhb0QwVMwf-7A"/>
    <s v="UC_gmpAYBi-b5LaCaWZnDBhQ"/>
    <m/>
    <m/>
    <m/>
    <m/>
    <m/>
    <m/>
    <m/>
    <m/>
    <s v="No"/>
    <n v="319"/>
    <m/>
    <m/>
    <s v="Commented Video"/>
    <x v="0"/>
    <s v="Have a request for the next &amp;quot;NodeXL Weather Report&amp;quot;?"/>
    <s v="UCOQy7XDYjkjhb0QwVMwf-7A"/>
    <s v="Marc Smith"/>
    <s v="http://www.youtube.com/channel/UCOQy7XDYjkjhb0QwVMwf-7A"/>
    <m/>
    <s v="yMCTnhBUpOg"/>
    <s v="https://www.youtube.com/watch?v=yMCTnhBUpOg"/>
    <s v="none"/>
    <n v="0"/>
    <x v="315"/>
    <d v="2016-08-03T18:44:07.000"/>
    <m/>
    <m/>
    <s v=""/>
    <n v="1"/>
    <s v="6"/>
    <s v="6"/>
    <n v="0"/>
    <n v="0"/>
    <n v="0"/>
    <n v="0"/>
    <n v="0"/>
    <n v="0"/>
    <n v="11"/>
    <n v="100"/>
    <n v="11"/>
  </r>
  <r>
    <s v="UC_gmpAYBi-b5LaCaWZnDBhQ"/>
    <s v="UC_gmpAYBi-b5LaCaWZnDBhQ"/>
    <m/>
    <m/>
    <m/>
    <m/>
    <m/>
    <m/>
    <m/>
    <m/>
    <s v="No"/>
    <n v="320"/>
    <m/>
    <m/>
    <s v="Posted Video"/>
    <x v="2"/>
    <m/>
    <m/>
    <m/>
    <m/>
    <m/>
    <s v="yMCTnhBUpOg"/>
    <s v="https://www.youtube.com/watch?v=yMCTnhBUpOg"/>
    <m/>
    <m/>
    <x v="316"/>
    <m/>
    <m/>
    <m/>
    <m/>
    <n v="2"/>
    <s v="6"/>
    <s v="6"/>
    <m/>
    <m/>
    <m/>
    <m/>
    <m/>
    <m/>
    <m/>
    <m/>
    <m/>
  </r>
  <r>
    <s v="UC_gmpAYBi-b5LaCaWZnDBhQ"/>
    <s v="UC_gmpAYBi-b5LaCaWZnDBhQ"/>
    <m/>
    <m/>
    <m/>
    <m/>
    <m/>
    <m/>
    <m/>
    <m/>
    <s v="No"/>
    <n v="321"/>
    <m/>
    <m/>
    <s v="Posted Video"/>
    <x v="2"/>
    <m/>
    <m/>
    <m/>
    <m/>
    <m/>
    <s v="jBXGN265uPI"/>
    <s v="https://www.youtube.com/watch?v=jBXGN265uPI"/>
    <m/>
    <m/>
    <x v="317"/>
    <m/>
    <m/>
    <m/>
    <m/>
    <n v="2"/>
    <s v="6"/>
    <s v="6"/>
    <m/>
    <m/>
    <m/>
    <m/>
    <m/>
    <m/>
    <m/>
    <m/>
    <m/>
  </r>
  <r>
    <s v="UCqDiq5jdrPYU0Qck9GJDbRg"/>
    <s v="UCqDiq5jdrPYU0Qck9GJDbRg"/>
    <m/>
    <m/>
    <m/>
    <m/>
    <m/>
    <m/>
    <m/>
    <m/>
    <s v="No"/>
    <n v="322"/>
    <m/>
    <m/>
    <s v="Posted Video"/>
    <x v="2"/>
    <m/>
    <m/>
    <m/>
    <m/>
    <m/>
    <s v="_LzT3A2_wDA"/>
    <s v="https://www.youtube.com/watch?v=_LzT3A2_wDA"/>
    <m/>
    <m/>
    <x v="318"/>
    <m/>
    <m/>
    <m/>
    <m/>
    <n v="1"/>
    <s v="2"/>
    <s v="2"/>
    <m/>
    <m/>
    <m/>
    <m/>
    <m/>
    <m/>
    <m/>
    <m/>
    <m/>
  </r>
  <r>
    <s v="UCEqAdgfHAPJPDq0hZqxjvyA"/>
    <s v="UCEqAdgfHAPJPDq0hZqxjvyA"/>
    <m/>
    <m/>
    <m/>
    <m/>
    <m/>
    <m/>
    <m/>
    <m/>
    <s v="No"/>
    <n v="323"/>
    <m/>
    <m/>
    <s v="Posted Video"/>
    <x v="2"/>
    <m/>
    <m/>
    <m/>
    <m/>
    <m/>
    <s v="pCYpAmk_2-Y"/>
    <s v="https://www.youtube.com/watch?v=pCYpAmk_2-Y"/>
    <m/>
    <m/>
    <x v="319"/>
    <m/>
    <m/>
    <m/>
    <m/>
    <n v="1"/>
    <s v="2"/>
    <s v="2"/>
    <m/>
    <m/>
    <m/>
    <m/>
    <m/>
    <m/>
    <m/>
    <m/>
    <m/>
  </r>
  <r>
    <s v="UCRZps3dH47Yd7pj8LmS7vmg"/>
    <s v="UCRZps3dH47Yd7pj8LmS7vmg"/>
    <m/>
    <m/>
    <m/>
    <m/>
    <m/>
    <m/>
    <m/>
    <m/>
    <s v="No"/>
    <n v="324"/>
    <m/>
    <m/>
    <s v="Commented Video"/>
    <x v="0"/>
    <s v="&lt;a href=&quot;https://www.amazon.com.br/s?i=stripbooks&amp;amp;rh=n%3A6740748011%2Cp_lbr_books_authors_browse-bin%3ATulio+Kahn&amp;amp;s=date-desc-rank&amp;amp;qid=1637233274&amp;amp;ref=sr_pg_1&quot;&gt;https://www.amazon.com.br/s?i=stripbooks&amp;amp;rh=n%3A6740748011%2Cp_lbr_books_authors_browse-bin%3ATulio+Kahn&amp;amp;s=date-desc-rank&amp;amp;qid=1637233274&amp;amp;ref=sr_pg_1&lt;/a&gt;"/>
    <s v="UCRZps3dH47Yd7pj8LmS7vmg"/>
    <s v="Tulio Kahn"/>
    <s v="http://www.youtube.com/channel/UCRZps3dH47Yd7pj8LmS7vmg"/>
    <m/>
    <s v="x9IzmOWAlnA"/>
    <s v="https://www.youtube.com/watch?v=x9IzmOWAlnA"/>
    <s v="none"/>
    <n v="0"/>
    <x v="320"/>
    <d v="2021-11-18T12:08:32.000"/>
    <s v=" https://www.amazon.com.br/s?i=stripbooks&amp;amp;rh=n%3A6740748011%2Cp_lbr_books_authors_browse-bin%3ATulio+Kahn&amp;amp;s=date-desc-rank&amp;amp;qid=1637233274&amp;amp;ref=sr_pg_1 https://www.amazon.com.br/s?i=stripbooks&amp;amp;rh=n%3A6740748011%2Cp_lbr_books_authors_browse-bin%3ATulio+Kahn&amp;amp;s=date-desc-rank&amp;amp;qid=1637233274&amp;amp;ref=sr_pg_1"/>
    <s v="com.br com.br"/>
    <s v=""/>
    <n v="2"/>
    <s v="21"/>
    <s v="21"/>
    <n v="0"/>
    <n v="0"/>
    <n v="0"/>
    <n v="0"/>
    <n v="0"/>
    <n v="0"/>
    <n v="57"/>
    <n v="100"/>
    <n v="57"/>
  </r>
  <r>
    <s v="UCRZps3dH47Yd7pj8LmS7vmg"/>
    <s v="UCRZps3dH47Yd7pj8LmS7vmg"/>
    <m/>
    <m/>
    <m/>
    <m/>
    <m/>
    <m/>
    <m/>
    <m/>
    <s v="No"/>
    <n v="325"/>
    <m/>
    <m/>
    <s v="Posted Video"/>
    <x v="2"/>
    <m/>
    <m/>
    <m/>
    <m/>
    <m/>
    <s v="x9IzmOWAlnA"/>
    <s v="https://www.youtube.com/watch?v=x9IzmOWAlnA"/>
    <m/>
    <m/>
    <x v="321"/>
    <m/>
    <m/>
    <m/>
    <m/>
    <n v="2"/>
    <s v="21"/>
    <s v="21"/>
    <m/>
    <m/>
    <m/>
    <m/>
    <m/>
    <m/>
    <m/>
    <m/>
    <m/>
  </r>
  <r>
    <s v="UCoVrqzF4FU2Lv5vnB_JXchA"/>
    <s v="UCoVrqzF4FU2Lv5vnB_JXchA"/>
    <m/>
    <m/>
    <m/>
    <m/>
    <m/>
    <m/>
    <m/>
    <m/>
    <s v="No"/>
    <n v="326"/>
    <m/>
    <m/>
    <s v="Posted Video"/>
    <x v="2"/>
    <m/>
    <m/>
    <m/>
    <m/>
    <m/>
    <s v="WHociTCrX48"/>
    <s v="https://www.youtube.com/watch?v=WHociTCrX48"/>
    <m/>
    <m/>
    <x v="322"/>
    <m/>
    <m/>
    <m/>
    <m/>
    <n v="1"/>
    <s v="8"/>
    <s v="8"/>
    <m/>
    <m/>
    <m/>
    <m/>
    <m/>
    <m/>
    <m/>
    <m/>
    <m/>
  </r>
  <r>
    <s v="UCAsUVwqROYclu1B2tk74kwg"/>
    <s v="UCAsUVwqROYclu1B2tk74kwg"/>
    <m/>
    <m/>
    <m/>
    <m/>
    <m/>
    <m/>
    <m/>
    <m/>
    <s v="No"/>
    <n v="327"/>
    <m/>
    <m/>
    <s v="Posted Video"/>
    <x v="2"/>
    <m/>
    <m/>
    <m/>
    <m/>
    <m/>
    <s v="aJuHtKjYySE"/>
    <s v="https://www.youtube.com/watch?v=aJuHtKjYySE"/>
    <m/>
    <m/>
    <x v="323"/>
    <m/>
    <m/>
    <m/>
    <m/>
    <n v="1"/>
    <s v="20"/>
    <s v="20"/>
    <m/>
    <m/>
    <m/>
    <m/>
    <m/>
    <m/>
    <m/>
    <m/>
    <m/>
  </r>
  <r>
    <s v="UCszcmo-D454RsJIOheCu7QQ"/>
    <s v="UCszcmo-D454RsJIOheCu7QQ"/>
    <m/>
    <m/>
    <m/>
    <m/>
    <m/>
    <m/>
    <m/>
    <m/>
    <s v="No"/>
    <n v="328"/>
    <m/>
    <m/>
    <s v="Posted Video"/>
    <x v="2"/>
    <m/>
    <m/>
    <m/>
    <m/>
    <m/>
    <s v="89xmLtfm7G4"/>
    <s v="https://www.youtube.com/watch?v=89xmLtfm7G4"/>
    <m/>
    <m/>
    <x v="324"/>
    <m/>
    <m/>
    <m/>
    <m/>
    <n v="4"/>
    <s v="2"/>
    <s v="2"/>
    <m/>
    <m/>
    <m/>
    <m/>
    <m/>
    <m/>
    <m/>
    <m/>
    <m/>
  </r>
  <r>
    <s v="UCszcmo-D454RsJIOheCu7QQ"/>
    <s v="UCszcmo-D454RsJIOheCu7QQ"/>
    <m/>
    <m/>
    <m/>
    <m/>
    <m/>
    <m/>
    <m/>
    <m/>
    <s v="No"/>
    <n v="329"/>
    <m/>
    <m/>
    <s v="Posted Video"/>
    <x v="2"/>
    <m/>
    <m/>
    <m/>
    <m/>
    <m/>
    <s v="zkOZhLTTZMU"/>
    <s v="https://www.youtube.com/watch?v=zkOZhLTTZMU"/>
    <m/>
    <m/>
    <x v="325"/>
    <m/>
    <m/>
    <m/>
    <m/>
    <n v="4"/>
    <s v="2"/>
    <s v="2"/>
    <m/>
    <m/>
    <m/>
    <m/>
    <m/>
    <m/>
    <m/>
    <m/>
    <m/>
  </r>
  <r>
    <s v="UCszcmo-D454RsJIOheCu7QQ"/>
    <s v="UCszcmo-D454RsJIOheCu7QQ"/>
    <m/>
    <m/>
    <m/>
    <m/>
    <m/>
    <m/>
    <m/>
    <m/>
    <s v="No"/>
    <n v="330"/>
    <m/>
    <m/>
    <s v="Posted Video"/>
    <x v="2"/>
    <m/>
    <m/>
    <m/>
    <m/>
    <m/>
    <s v="Udl9m3kua9Y"/>
    <s v="https://www.youtube.com/watch?v=Udl9m3kua9Y"/>
    <m/>
    <m/>
    <x v="326"/>
    <m/>
    <m/>
    <m/>
    <m/>
    <n v="4"/>
    <s v="2"/>
    <s v="2"/>
    <m/>
    <m/>
    <m/>
    <m/>
    <m/>
    <m/>
    <m/>
    <m/>
    <m/>
  </r>
  <r>
    <s v="UCszcmo-D454RsJIOheCu7QQ"/>
    <s v="UCszcmo-D454RsJIOheCu7QQ"/>
    <m/>
    <m/>
    <m/>
    <m/>
    <m/>
    <m/>
    <m/>
    <m/>
    <s v="No"/>
    <n v="331"/>
    <m/>
    <m/>
    <s v="Posted Video"/>
    <x v="2"/>
    <m/>
    <m/>
    <m/>
    <m/>
    <m/>
    <s v="kCApYWeu-kE"/>
    <s v="https://www.youtube.com/watch?v=kCApYWeu-kE"/>
    <m/>
    <m/>
    <x v="327"/>
    <m/>
    <m/>
    <m/>
    <m/>
    <n v="4"/>
    <s v="2"/>
    <s v="2"/>
    <m/>
    <m/>
    <m/>
    <m/>
    <m/>
    <m/>
    <m/>
    <m/>
    <m/>
  </r>
  <r>
    <s v="UCbmNph6atAoGfqLoCL_duAg"/>
    <s v="UCbmNph6atAoGfqLoCL_duAg"/>
    <m/>
    <m/>
    <m/>
    <m/>
    <m/>
    <m/>
    <m/>
    <m/>
    <s v="No"/>
    <n v="332"/>
    <m/>
    <m/>
    <s v="Posted Video"/>
    <x v="2"/>
    <m/>
    <m/>
    <m/>
    <m/>
    <m/>
    <s v="ZYLWHRa8Et4"/>
    <s v="https://www.youtube.com/watch?v=ZYLWHRa8Et4"/>
    <m/>
    <m/>
    <x v="328"/>
    <m/>
    <m/>
    <m/>
    <m/>
    <n v="1"/>
    <s v="16"/>
    <s v="16"/>
    <m/>
    <m/>
    <m/>
    <m/>
    <m/>
    <m/>
    <m/>
    <m/>
    <m/>
  </r>
  <r>
    <s v="UC8Gt-9-7Z9vypF8m3WMaOgg"/>
    <s v="UC8Gt-9-7Z9vypF8m3WMaOgg"/>
    <m/>
    <m/>
    <m/>
    <m/>
    <m/>
    <m/>
    <m/>
    <m/>
    <s v="No"/>
    <n v="333"/>
    <m/>
    <m/>
    <s v="Posted Video"/>
    <x v="2"/>
    <m/>
    <m/>
    <m/>
    <m/>
    <m/>
    <s v="8b-U81FWPI4"/>
    <s v="https://www.youtube.com/watch?v=8b-U81FWPI4"/>
    <m/>
    <m/>
    <x v="329"/>
    <m/>
    <m/>
    <m/>
    <m/>
    <n v="1"/>
    <s v="2"/>
    <s v="2"/>
    <m/>
    <m/>
    <m/>
    <m/>
    <m/>
    <m/>
    <m/>
    <m/>
    <m/>
  </r>
  <r>
    <s v="UCVRsFyifrTrADDHncqwLghg"/>
    <s v="UCVRsFyifrTrADDHncqwLghg"/>
    <m/>
    <m/>
    <m/>
    <m/>
    <m/>
    <m/>
    <m/>
    <m/>
    <s v="No"/>
    <n v="334"/>
    <m/>
    <m/>
    <s v="Posted Video"/>
    <x v="2"/>
    <m/>
    <m/>
    <m/>
    <m/>
    <m/>
    <s v="1VVN0ZlxXmI"/>
    <s v="https://www.youtube.com/watch?v=1VVN0ZlxXmI"/>
    <m/>
    <m/>
    <x v="330"/>
    <m/>
    <m/>
    <m/>
    <m/>
    <n v="1"/>
    <s v="19"/>
    <s v="19"/>
    <m/>
    <m/>
    <m/>
    <m/>
    <m/>
    <m/>
    <m/>
    <m/>
    <m/>
  </r>
  <r>
    <s v="UCpSb0VfB8knPbOeEdHGJdnQ"/>
    <s v="UCpSb0VfB8knPbOeEdHGJdnQ"/>
    <m/>
    <m/>
    <m/>
    <m/>
    <m/>
    <m/>
    <m/>
    <m/>
    <s v="No"/>
    <n v="335"/>
    <m/>
    <m/>
    <s v="Posted Video"/>
    <x v="2"/>
    <m/>
    <m/>
    <m/>
    <m/>
    <m/>
    <s v="Ksggp3-Grdo"/>
    <s v="https://www.youtube.com/watch?v=Ksggp3-Grdo"/>
    <m/>
    <m/>
    <x v="331"/>
    <m/>
    <m/>
    <m/>
    <m/>
    <n v="1"/>
    <s v="2"/>
    <s v="2"/>
    <m/>
    <m/>
    <m/>
    <m/>
    <m/>
    <m/>
    <m/>
    <m/>
    <m/>
  </r>
  <r>
    <s v="UCif9JdoLvBtApiSu94tWjPg"/>
    <s v="UCif9JdoLvBtApiSu94tWjPg"/>
    <m/>
    <m/>
    <m/>
    <m/>
    <m/>
    <m/>
    <m/>
    <m/>
    <s v="No"/>
    <n v="336"/>
    <m/>
    <m/>
    <s v="Posted Video"/>
    <x v="2"/>
    <m/>
    <m/>
    <m/>
    <m/>
    <m/>
    <s v="JWbyuFZSm2Y"/>
    <s v="https://www.youtube.com/watch?v=JWbyuFZSm2Y"/>
    <m/>
    <m/>
    <x v="332"/>
    <m/>
    <m/>
    <m/>
    <m/>
    <n v="2"/>
    <s v="10"/>
    <s v="10"/>
    <m/>
    <m/>
    <m/>
    <m/>
    <m/>
    <m/>
    <m/>
    <m/>
    <m/>
  </r>
  <r>
    <s v="UCif9JdoLvBtApiSu94tWjPg"/>
    <s v="UCif9JdoLvBtApiSu94tWjPg"/>
    <m/>
    <m/>
    <m/>
    <m/>
    <m/>
    <m/>
    <m/>
    <m/>
    <s v="No"/>
    <n v="337"/>
    <m/>
    <m/>
    <s v="Posted Video"/>
    <x v="2"/>
    <m/>
    <m/>
    <m/>
    <m/>
    <m/>
    <s v="tzkLBf9t7MY"/>
    <s v="https://www.youtube.com/watch?v=tzkLBf9t7MY"/>
    <m/>
    <m/>
    <x v="333"/>
    <m/>
    <m/>
    <m/>
    <m/>
    <n v="2"/>
    <s v="10"/>
    <s v="10"/>
    <m/>
    <m/>
    <m/>
    <m/>
    <m/>
    <m/>
    <m/>
    <m/>
    <m/>
  </r>
  <r>
    <s v="UCcyRyUvk-VLYGh8srnf9E2Q"/>
    <s v="UCcyRyUvk-VLYGh8srnf9E2Q"/>
    <m/>
    <m/>
    <m/>
    <m/>
    <m/>
    <m/>
    <m/>
    <m/>
    <s v="No"/>
    <n v="338"/>
    <m/>
    <m/>
    <s v="Posted Video"/>
    <x v="2"/>
    <m/>
    <m/>
    <m/>
    <m/>
    <m/>
    <s v="GYSgH1g_YQI"/>
    <s v="https://www.youtube.com/watch?v=GYSgH1g_YQI"/>
    <m/>
    <m/>
    <x v="334"/>
    <m/>
    <m/>
    <m/>
    <m/>
    <n v="1"/>
    <s v="5"/>
    <s v="5"/>
    <m/>
    <m/>
    <m/>
    <m/>
    <m/>
    <m/>
    <m/>
    <m/>
    <m/>
  </r>
  <r>
    <s v="UCGajcAd0-l59-ly_FeDMYXw"/>
    <s v="UCGajcAd0-l59-ly_FeDMYXw"/>
    <m/>
    <m/>
    <m/>
    <m/>
    <m/>
    <m/>
    <m/>
    <m/>
    <s v="No"/>
    <n v="339"/>
    <m/>
    <m/>
    <s v="Posted Video"/>
    <x v="2"/>
    <m/>
    <m/>
    <m/>
    <m/>
    <m/>
    <s v="TrCcbMEkJM0"/>
    <s v="https://www.youtube.com/watch?v=TrCcbMEkJM0"/>
    <m/>
    <m/>
    <x v="335"/>
    <m/>
    <m/>
    <m/>
    <m/>
    <n v="1"/>
    <s v="15"/>
    <s v="15"/>
    <m/>
    <m/>
    <m/>
    <m/>
    <m/>
    <m/>
    <m/>
    <m/>
    <m/>
  </r>
  <r>
    <s v="UC4B0PCHbdzSSzlHORDsaYjQ"/>
    <s v="UC4B0PCHbdzSSzlHORDsaYjQ"/>
    <m/>
    <m/>
    <m/>
    <m/>
    <m/>
    <m/>
    <m/>
    <m/>
    <s v="No"/>
    <n v="340"/>
    <m/>
    <m/>
    <s v="Posted Video"/>
    <x v="2"/>
    <m/>
    <m/>
    <m/>
    <m/>
    <m/>
    <s v="Cp5dejUrVUE"/>
    <s v="https://www.youtube.com/watch?v=Cp5dejUrVUE"/>
    <m/>
    <m/>
    <x v="336"/>
    <m/>
    <m/>
    <m/>
    <m/>
    <n v="5"/>
    <s v="7"/>
    <s v="7"/>
    <m/>
    <m/>
    <m/>
    <m/>
    <m/>
    <m/>
    <m/>
    <m/>
    <m/>
  </r>
  <r>
    <s v="UC4B0PCHbdzSSzlHORDsaYjQ"/>
    <s v="UC4B0PCHbdzSSzlHORDsaYjQ"/>
    <m/>
    <m/>
    <m/>
    <m/>
    <m/>
    <m/>
    <m/>
    <m/>
    <s v="No"/>
    <n v="341"/>
    <m/>
    <m/>
    <s v="Posted Video"/>
    <x v="2"/>
    <m/>
    <m/>
    <m/>
    <m/>
    <m/>
    <s v="GDEZBIXOz_c"/>
    <s v="https://www.youtube.com/watch?v=GDEZBIXOz_c"/>
    <m/>
    <m/>
    <x v="337"/>
    <m/>
    <m/>
    <m/>
    <m/>
    <n v="5"/>
    <s v="7"/>
    <s v="7"/>
    <m/>
    <m/>
    <m/>
    <m/>
    <m/>
    <m/>
    <m/>
    <m/>
    <m/>
  </r>
  <r>
    <s v="UC4B0PCHbdzSSzlHORDsaYjQ"/>
    <s v="UC4B0PCHbdzSSzlHORDsaYjQ"/>
    <m/>
    <m/>
    <m/>
    <m/>
    <m/>
    <m/>
    <m/>
    <m/>
    <s v="No"/>
    <n v="342"/>
    <m/>
    <m/>
    <s v="Posted Video"/>
    <x v="2"/>
    <m/>
    <m/>
    <m/>
    <m/>
    <m/>
    <s v="9YcbpzQ3f8I"/>
    <s v="https://www.youtube.com/watch?v=9YcbpzQ3f8I"/>
    <m/>
    <m/>
    <x v="338"/>
    <m/>
    <m/>
    <m/>
    <m/>
    <n v="5"/>
    <s v="7"/>
    <s v="7"/>
    <m/>
    <m/>
    <m/>
    <m/>
    <m/>
    <m/>
    <m/>
    <m/>
    <m/>
  </r>
  <r>
    <s v="UC4B0PCHbdzSSzlHORDsaYjQ"/>
    <s v="UC4B0PCHbdzSSzlHORDsaYjQ"/>
    <m/>
    <m/>
    <m/>
    <m/>
    <m/>
    <m/>
    <m/>
    <m/>
    <s v="No"/>
    <n v="343"/>
    <m/>
    <m/>
    <s v="Posted Video"/>
    <x v="2"/>
    <m/>
    <m/>
    <m/>
    <m/>
    <m/>
    <s v="yknqOhpUtzQ"/>
    <s v="https://www.youtube.com/watch?v=yknqOhpUtzQ"/>
    <m/>
    <m/>
    <x v="339"/>
    <m/>
    <m/>
    <m/>
    <m/>
    <n v="5"/>
    <s v="7"/>
    <s v="7"/>
    <m/>
    <m/>
    <m/>
    <m/>
    <m/>
    <m/>
    <m/>
    <m/>
    <m/>
  </r>
  <r>
    <s v="UC4B0PCHbdzSSzlHORDsaYjQ"/>
    <s v="UC4B0PCHbdzSSzlHORDsaYjQ"/>
    <m/>
    <m/>
    <m/>
    <m/>
    <m/>
    <m/>
    <m/>
    <m/>
    <s v="No"/>
    <n v="344"/>
    <m/>
    <m/>
    <s v="Posted Video"/>
    <x v="2"/>
    <m/>
    <m/>
    <m/>
    <m/>
    <m/>
    <s v="0snyC8fNhXo"/>
    <s v="https://www.youtube.com/watch?v=0snyC8fNhXo"/>
    <m/>
    <m/>
    <x v="340"/>
    <m/>
    <m/>
    <m/>
    <m/>
    <n v="5"/>
    <s v="7"/>
    <s v="7"/>
    <m/>
    <m/>
    <m/>
    <m/>
    <m/>
    <m/>
    <m/>
    <m/>
    <m/>
  </r>
  <r>
    <s v="UCewxu9BEC64CfQVzR6vd3cA"/>
    <s v="UCewxu9BEC64CfQVzR6vd3cA"/>
    <m/>
    <m/>
    <m/>
    <m/>
    <m/>
    <m/>
    <m/>
    <m/>
    <s v="No"/>
    <n v="345"/>
    <m/>
    <m/>
    <s v="Posted Video"/>
    <x v="2"/>
    <m/>
    <m/>
    <m/>
    <m/>
    <m/>
    <s v="DfVp1zDYNLg"/>
    <s v="https://www.youtube.com/watch?v=DfVp1zDYNLg"/>
    <m/>
    <m/>
    <x v="341"/>
    <m/>
    <m/>
    <m/>
    <m/>
    <n v="1"/>
    <s v="3"/>
    <s v="3"/>
    <m/>
    <m/>
    <m/>
    <m/>
    <m/>
    <m/>
    <m/>
    <m/>
    <m/>
  </r>
  <r>
    <s v="UC2T_oimRLkjFPyGYeAz6qPw"/>
    <s v="UC2T_oimRLkjFPyGYeAz6qPw"/>
    <m/>
    <m/>
    <m/>
    <m/>
    <m/>
    <m/>
    <m/>
    <m/>
    <s v="No"/>
    <n v="346"/>
    <m/>
    <m/>
    <s v="Posted Video"/>
    <x v="2"/>
    <m/>
    <m/>
    <m/>
    <m/>
    <m/>
    <s v="loKrwwx7OWQ"/>
    <s v="https://www.youtube.com/watch?v=loKrwwx7OWQ"/>
    <m/>
    <m/>
    <x v="342"/>
    <m/>
    <m/>
    <m/>
    <m/>
    <n v="1"/>
    <s v="2"/>
    <s v="2"/>
    <m/>
    <m/>
    <m/>
    <m/>
    <m/>
    <m/>
    <m/>
    <m/>
    <m/>
  </r>
  <r>
    <s v="UCqS6Idv3FEU9VQX7-yHwnSw"/>
    <s v="UCqS6Idv3FEU9VQX7-yHwnSw"/>
    <m/>
    <m/>
    <m/>
    <m/>
    <m/>
    <m/>
    <m/>
    <m/>
    <s v="No"/>
    <n v="347"/>
    <m/>
    <m/>
    <s v="Posted Video"/>
    <x v="2"/>
    <m/>
    <m/>
    <m/>
    <m/>
    <m/>
    <s v="leNjC1CQiow"/>
    <s v="https://www.youtube.com/watch?v=leNjC1CQiow"/>
    <m/>
    <m/>
    <x v="343"/>
    <m/>
    <m/>
    <m/>
    <m/>
    <n v="1"/>
    <s v="4"/>
    <s v="4"/>
    <m/>
    <m/>
    <m/>
    <m/>
    <m/>
    <m/>
    <m/>
    <m/>
    <m/>
  </r>
  <r>
    <s v="UCaz5lJl4O-DlZ0Ype11GGDQ"/>
    <s v="UCaz5lJl4O-DlZ0Ype11GGDQ"/>
    <m/>
    <m/>
    <m/>
    <m/>
    <m/>
    <m/>
    <m/>
    <m/>
    <s v="No"/>
    <n v="348"/>
    <m/>
    <m/>
    <s v="Commented Video"/>
    <x v="0"/>
    <s v="Merhabalar. Node XL ve Sosyal Ağ Analizi konusunda sizlerden mesaj ve yorumlar almaktayım ve ilginize çok teşekkür ederim. Konuya geri dönüş yapmak planlarım arasında olmakla birlikte, bu yakın zamanda olmayacak. Node XL kullanmayı ve bazı temel sosyal ağ analizi kavramlarını öğrenebileceğiniz bir PDF dosyası ayarladım sizler için. İlgili linkten &amp;quot;Node XL ile Ağların Çizimi ve Analizi&amp;quot; isimli PDF doyasına ulaşabilirsiniz. Bu dosya umarım işinizi görür ve daha iyi çalışmalar yapmanıza olanak tanır. Teşekkürler.&lt;br&gt;&lt;br&gt;Node XL ile Ağların Çizimi ve Analizi&lt;br&gt;&lt;br&gt;&lt;a href=&quot;https://drive.google.com/file/d/1setCSR5TRFgLAsY6IIbyKG9_eT02Ay5C/view?usp=sharing&quot;&gt;https://drive.google.com/file/d/1setCSR5TRFgLAsY6IIbyKG9_eT02Ay5C/view?usp=sharing&lt;/a&gt;"/>
    <s v="UCaz5lJl4O-DlZ0Ype11GGDQ"/>
    <s v="Kaan"/>
    <s v="http://www.youtube.com/channel/UCaz5lJl4O-DlZ0Ype11GGDQ"/>
    <m/>
    <s v="-dB0rwt6_U8"/>
    <s v="https://www.youtube.com/watch?v=-dB0rwt6_U8"/>
    <s v="none"/>
    <n v="1"/>
    <x v="344"/>
    <d v="2021-01-04T23:21:27.000"/>
    <s v=" https://drive.google.com/file/d/1setCSR5TRFgLAsY6IIbyKG9_eT02Ay5C/view?usp=sharing https://drive.google.com/file/d/1setCSR5TRFgLAsY6IIbyKG9_eT02Ay5C/view?usp=sharing"/>
    <s v="google.com google.com"/>
    <s v=""/>
    <n v="2"/>
    <s v="5"/>
    <s v="5"/>
    <n v="0"/>
    <n v="0"/>
    <n v="0"/>
    <n v="0"/>
    <n v="0"/>
    <n v="0"/>
    <n v="109"/>
    <n v="100"/>
    <n v="109"/>
  </r>
  <r>
    <s v="UCaz5lJl4O-DlZ0Ype11GGDQ"/>
    <s v="UCaz5lJl4O-DlZ0Ype11GGDQ"/>
    <m/>
    <m/>
    <m/>
    <m/>
    <m/>
    <m/>
    <m/>
    <m/>
    <s v="No"/>
    <n v="349"/>
    <m/>
    <m/>
    <s v="Posted Video"/>
    <x v="2"/>
    <m/>
    <m/>
    <m/>
    <m/>
    <m/>
    <s v="-dB0rwt6_U8"/>
    <s v="https://www.youtube.com/watch?v=-dB0rwt6_U8"/>
    <m/>
    <m/>
    <x v="345"/>
    <m/>
    <m/>
    <m/>
    <m/>
    <n v="2"/>
    <s v="5"/>
    <s v="5"/>
    <m/>
    <m/>
    <m/>
    <m/>
    <m/>
    <m/>
    <m/>
    <m/>
    <m/>
  </r>
  <r>
    <s v="UCY8xUWeaWVE4JY05JUupzYQ"/>
    <s v="UCY8xUWeaWVE4JY05JUupzYQ"/>
    <m/>
    <m/>
    <m/>
    <m/>
    <m/>
    <m/>
    <m/>
    <m/>
    <s v="No"/>
    <n v="350"/>
    <m/>
    <m/>
    <s v="Posted Video"/>
    <x v="2"/>
    <m/>
    <m/>
    <m/>
    <m/>
    <m/>
    <s v="gv96pG-FpNs"/>
    <s v="https://www.youtube.com/watch?v=gv96pG-FpNs"/>
    <m/>
    <m/>
    <x v="346"/>
    <m/>
    <m/>
    <m/>
    <m/>
    <n v="1"/>
    <s v="2"/>
    <s v="2"/>
    <m/>
    <m/>
    <m/>
    <m/>
    <m/>
    <m/>
    <m/>
    <m/>
    <m/>
  </r>
  <r>
    <s v="UCOQy7XDYjkjhb0QwVMwf-7A"/>
    <s v="UCOQy7XDYjkjhb0QwVMwf-7A"/>
    <m/>
    <m/>
    <m/>
    <m/>
    <m/>
    <m/>
    <m/>
    <m/>
    <s v="No"/>
    <n v="351"/>
    <m/>
    <m/>
    <s v="Commented Video"/>
    <x v="0"/>
    <s v="Plot NodeXL location data on a PowerMap &lt;br&gt;From NodeXL &lt;b&gt;Edges&lt;/b&gt; worksheet: Insert -&amp;gt; 3D Map &lt;br&gt;PowerMap automatically recognizes geographic data present. &lt;br&gt;You can add other columns. &lt;br&gt;It generates a 3d world map of the location of Tweets (that have location data)."/>
    <s v="UCOQy7XDYjkjhb0QwVMwf-7A"/>
    <s v="Marc Smith"/>
    <s v="http://www.youtube.com/channel/UCOQy7XDYjkjhb0QwVMwf-7A"/>
    <m/>
    <s v="PmDKuAnKiGA"/>
    <s v="https://www.youtube.com/watch?v=PmDKuAnKiGA"/>
    <s v="none"/>
    <n v="0"/>
    <x v="347"/>
    <d v="2019-02-01T19:05:48.000"/>
    <m/>
    <m/>
    <s v=""/>
    <n v="9"/>
    <s v="6"/>
    <s v="6"/>
    <n v="0"/>
    <n v="0"/>
    <n v="1"/>
    <n v="2.127659574468085"/>
    <n v="0"/>
    <n v="0"/>
    <n v="46"/>
    <n v="97.87234042553192"/>
    <n v="47"/>
  </r>
  <r>
    <s v="UCOQy7XDYjkjhb0QwVMwf-7A"/>
    <s v="UCerAw4EfTOnYYxLLPZAzMxQ"/>
    <m/>
    <m/>
    <m/>
    <m/>
    <m/>
    <m/>
    <m/>
    <m/>
    <s v="No"/>
    <n v="352"/>
    <m/>
    <m/>
    <s v="Commented Video"/>
    <x v="0"/>
    <s v="NodeXL Tip: You can list all edges first and NodeXL will populate the Vertices list automatically. "/>
    <s v="UCOQy7XDYjkjhb0QwVMwf-7A"/>
    <s v="Marc Smith"/>
    <s v="http://www.youtube.com/channel/UCOQy7XDYjkjhb0QwVMwf-7A"/>
    <m/>
    <s v="t8YHRVf60BU"/>
    <s v="https://www.youtube.com/watch?v=t8YHRVf60BU"/>
    <s v="none"/>
    <n v="0"/>
    <x v="348"/>
    <d v="2012-09-09T16:21:47.000"/>
    <m/>
    <m/>
    <s v=""/>
    <n v="1"/>
    <s v="6"/>
    <s v="1"/>
    <n v="0"/>
    <n v="0"/>
    <n v="0"/>
    <n v="0"/>
    <n v="0"/>
    <n v="0"/>
    <n v="16"/>
    <n v="100"/>
    <n v="16"/>
  </r>
  <r>
    <s v="UCOQy7XDYjkjhb0QwVMwf-7A"/>
    <s v="UCOQy7XDYjkjhb0QwVMwf-7A"/>
    <m/>
    <m/>
    <m/>
    <m/>
    <m/>
    <m/>
    <m/>
    <m/>
    <s v="No"/>
    <n v="353"/>
    <m/>
    <m/>
    <s v="Posted Video"/>
    <x v="2"/>
    <m/>
    <m/>
    <m/>
    <m/>
    <m/>
    <s v="PmDKuAnKiGA"/>
    <s v="https://www.youtube.com/watch?v=PmDKuAnKiGA"/>
    <m/>
    <m/>
    <x v="349"/>
    <m/>
    <m/>
    <m/>
    <m/>
    <n v="9"/>
    <s v="6"/>
    <s v="6"/>
    <m/>
    <m/>
    <m/>
    <m/>
    <m/>
    <m/>
    <m/>
    <m/>
    <m/>
  </r>
  <r>
    <s v="UCOQy7XDYjkjhb0QwVMwf-7A"/>
    <s v="UCOQy7XDYjkjhb0QwVMwf-7A"/>
    <m/>
    <m/>
    <m/>
    <m/>
    <m/>
    <m/>
    <m/>
    <m/>
    <s v="No"/>
    <n v="354"/>
    <m/>
    <m/>
    <s v="Posted Video"/>
    <x v="2"/>
    <m/>
    <m/>
    <m/>
    <m/>
    <m/>
    <s v="EEZfb4WC_uE"/>
    <s v="https://www.youtube.com/watch?v=EEZfb4WC_uE"/>
    <m/>
    <m/>
    <x v="350"/>
    <m/>
    <m/>
    <m/>
    <m/>
    <n v="9"/>
    <s v="6"/>
    <s v="6"/>
    <m/>
    <m/>
    <m/>
    <m/>
    <m/>
    <m/>
    <m/>
    <m/>
    <m/>
  </r>
  <r>
    <s v="UCOQy7XDYjkjhb0QwVMwf-7A"/>
    <s v="UCOQy7XDYjkjhb0QwVMwf-7A"/>
    <m/>
    <m/>
    <m/>
    <m/>
    <m/>
    <m/>
    <m/>
    <m/>
    <s v="No"/>
    <n v="355"/>
    <m/>
    <m/>
    <s v="Posted Video"/>
    <x v="2"/>
    <m/>
    <m/>
    <m/>
    <m/>
    <m/>
    <s v="jUz1XgQaXVE"/>
    <s v="https://www.youtube.com/watch?v=jUz1XgQaXVE"/>
    <m/>
    <m/>
    <x v="351"/>
    <m/>
    <m/>
    <m/>
    <m/>
    <n v="9"/>
    <s v="6"/>
    <s v="6"/>
    <m/>
    <m/>
    <m/>
    <m/>
    <m/>
    <m/>
    <m/>
    <m/>
    <m/>
  </r>
  <r>
    <s v="UCOQy7XDYjkjhb0QwVMwf-7A"/>
    <s v="UCOQy7XDYjkjhb0QwVMwf-7A"/>
    <m/>
    <m/>
    <m/>
    <m/>
    <m/>
    <m/>
    <m/>
    <m/>
    <s v="No"/>
    <n v="356"/>
    <m/>
    <m/>
    <s v="Posted Video"/>
    <x v="2"/>
    <m/>
    <m/>
    <m/>
    <m/>
    <m/>
    <s v="Y_20YJMfpWE"/>
    <s v="https://www.youtube.com/watch?v=Y_20YJMfpWE"/>
    <m/>
    <m/>
    <x v="352"/>
    <m/>
    <m/>
    <m/>
    <m/>
    <n v="9"/>
    <s v="6"/>
    <s v="6"/>
    <m/>
    <m/>
    <m/>
    <m/>
    <m/>
    <m/>
    <m/>
    <m/>
    <m/>
  </r>
  <r>
    <s v="UCOQy7XDYjkjhb0QwVMwf-7A"/>
    <s v="UCOQy7XDYjkjhb0QwVMwf-7A"/>
    <m/>
    <m/>
    <m/>
    <m/>
    <m/>
    <m/>
    <m/>
    <m/>
    <s v="No"/>
    <n v="357"/>
    <m/>
    <m/>
    <s v="Posted Video"/>
    <x v="2"/>
    <m/>
    <m/>
    <m/>
    <m/>
    <m/>
    <s v="D2yECwk_gq8"/>
    <s v="https://www.youtube.com/watch?v=D2yECwk_gq8"/>
    <m/>
    <m/>
    <x v="353"/>
    <m/>
    <m/>
    <m/>
    <m/>
    <n v="9"/>
    <s v="6"/>
    <s v="6"/>
    <m/>
    <m/>
    <m/>
    <m/>
    <m/>
    <m/>
    <m/>
    <m/>
    <m/>
  </r>
  <r>
    <s v="UCOQy7XDYjkjhb0QwVMwf-7A"/>
    <s v="UCOQy7XDYjkjhb0QwVMwf-7A"/>
    <m/>
    <m/>
    <m/>
    <m/>
    <m/>
    <m/>
    <m/>
    <m/>
    <s v="No"/>
    <n v="358"/>
    <m/>
    <m/>
    <s v="Posted Video"/>
    <x v="2"/>
    <m/>
    <m/>
    <m/>
    <m/>
    <m/>
    <s v="5qNwGSCUqHo"/>
    <s v="https://www.youtube.com/watch?v=5qNwGSCUqHo"/>
    <m/>
    <m/>
    <x v="354"/>
    <m/>
    <m/>
    <m/>
    <m/>
    <n v="9"/>
    <s v="6"/>
    <s v="6"/>
    <m/>
    <m/>
    <m/>
    <m/>
    <m/>
    <m/>
    <m/>
    <m/>
    <m/>
  </r>
  <r>
    <s v="UCOQy7XDYjkjhb0QwVMwf-7A"/>
    <s v="UCOQy7XDYjkjhb0QwVMwf-7A"/>
    <m/>
    <m/>
    <m/>
    <m/>
    <m/>
    <m/>
    <m/>
    <m/>
    <s v="No"/>
    <n v="359"/>
    <m/>
    <m/>
    <s v="Posted Video"/>
    <x v="2"/>
    <m/>
    <m/>
    <m/>
    <m/>
    <m/>
    <s v="xKhYGRpbwOc"/>
    <s v="https://www.youtube.com/watch?v=xKhYGRpbwOc"/>
    <m/>
    <m/>
    <x v="355"/>
    <m/>
    <m/>
    <m/>
    <m/>
    <n v="9"/>
    <s v="6"/>
    <s v="6"/>
    <m/>
    <m/>
    <m/>
    <m/>
    <m/>
    <m/>
    <m/>
    <m/>
    <m/>
  </r>
  <r>
    <s v="UCOQy7XDYjkjhb0QwVMwf-7A"/>
    <s v="UCOQy7XDYjkjhb0QwVMwf-7A"/>
    <m/>
    <m/>
    <m/>
    <m/>
    <m/>
    <m/>
    <m/>
    <m/>
    <s v="No"/>
    <n v="360"/>
    <m/>
    <m/>
    <s v="Posted Video"/>
    <x v="2"/>
    <m/>
    <m/>
    <m/>
    <m/>
    <m/>
    <s v="4ae-mqDr7co"/>
    <s v="https://www.youtube.com/watch?v=4ae-mqDr7co"/>
    <m/>
    <m/>
    <x v="356"/>
    <m/>
    <m/>
    <m/>
    <m/>
    <n v="9"/>
    <s v="6"/>
    <s v="6"/>
    <m/>
    <m/>
    <m/>
    <m/>
    <m/>
    <m/>
    <m/>
    <m/>
    <m/>
  </r>
  <r>
    <s v="UC3WCzD4z9DiTLTempQrMUeg"/>
    <s v="UC3WCzD4z9DiTLTempQrMUeg"/>
    <m/>
    <m/>
    <m/>
    <m/>
    <m/>
    <m/>
    <m/>
    <m/>
    <s v="No"/>
    <n v="361"/>
    <m/>
    <m/>
    <s v="Posted Video"/>
    <x v="2"/>
    <m/>
    <m/>
    <m/>
    <m/>
    <m/>
    <s v="ByE9IG1PtOs"/>
    <s v="https://www.youtube.com/watch?v=ByE9IG1PtOs"/>
    <m/>
    <m/>
    <x v="357"/>
    <m/>
    <m/>
    <m/>
    <m/>
    <n v="1"/>
    <s v="2"/>
    <s v="2"/>
    <m/>
    <m/>
    <m/>
    <m/>
    <m/>
    <m/>
    <m/>
    <m/>
    <m/>
  </r>
  <r>
    <s v="UCoHpLfLDotbsVyGvGlsekQA"/>
    <s v="UCoHpLfLDotbsVyGvGlsekQA"/>
    <m/>
    <m/>
    <m/>
    <m/>
    <m/>
    <m/>
    <m/>
    <m/>
    <s v="No"/>
    <n v="362"/>
    <m/>
    <m/>
    <s v="Posted Video"/>
    <x v="2"/>
    <m/>
    <m/>
    <m/>
    <m/>
    <m/>
    <s v="GUjqCaLet34"/>
    <s v="https://www.youtube.com/watch?v=GUjqCaLet34"/>
    <m/>
    <m/>
    <x v="358"/>
    <m/>
    <m/>
    <m/>
    <m/>
    <n v="2"/>
    <s v="4"/>
    <s v="4"/>
    <m/>
    <m/>
    <m/>
    <m/>
    <m/>
    <m/>
    <m/>
    <m/>
    <m/>
  </r>
  <r>
    <s v="UCoHpLfLDotbsVyGvGlsekQA"/>
    <s v="UCoHpLfLDotbsVyGvGlsekQA"/>
    <m/>
    <m/>
    <m/>
    <m/>
    <m/>
    <m/>
    <m/>
    <m/>
    <s v="No"/>
    <n v="363"/>
    <m/>
    <m/>
    <s v="Posted Video"/>
    <x v="2"/>
    <m/>
    <m/>
    <m/>
    <m/>
    <m/>
    <s v="3x-TXaTF3-Y"/>
    <s v="https://www.youtube.com/watch?v=3x-TXaTF3-Y"/>
    <m/>
    <m/>
    <x v="359"/>
    <m/>
    <m/>
    <m/>
    <m/>
    <n v="2"/>
    <s v="4"/>
    <s v="4"/>
    <m/>
    <m/>
    <m/>
    <m/>
    <m/>
    <m/>
    <m/>
    <m/>
    <m/>
  </r>
  <r>
    <s v="UClF3Q-_xtSxneYXZZIs3rtQ"/>
    <s v="UClF3Q-_xtSxneYXZZIs3rtQ"/>
    <m/>
    <m/>
    <m/>
    <m/>
    <m/>
    <m/>
    <m/>
    <m/>
    <s v="No"/>
    <n v="364"/>
    <m/>
    <m/>
    <s v="Posted Video"/>
    <x v="2"/>
    <m/>
    <m/>
    <m/>
    <m/>
    <m/>
    <s v="o53sJ939r7A"/>
    <s v="https://www.youtube.com/watch?v=o53sJ939r7A"/>
    <m/>
    <m/>
    <x v="360"/>
    <m/>
    <m/>
    <m/>
    <m/>
    <n v="1"/>
    <s v="12"/>
    <s v="12"/>
    <m/>
    <m/>
    <m/>
    <m/>
    <m/>
    <m/>
    <m/>
    <m/>
    <m/>
  </r>
  <r>
    <s v="UCuyDUN7SDHJd3-UQhX69A9w"/>
    <s v="UCuyDUN7SDHJd3-UQhX69A9w"/>
    <m/>
    <m/>
    <m/>
    <m/>
    <m/>
    <m/>
    <m/>
    <m/>
    <s v="No"/>
    <n v="365"/>
    <m/>
    <m/>
    <s v="Posted Video"/>
    <x v="2"/>
    <m/>
    <m/>
    <m/>
    <m/>
    <m/>
    <s v="THdrju-UWjo"/>
    <s v="https://www.youtube.com/watch?v=THdrju-UWjo"/>
    <m/>
    <m/>
    <x v="361"/>
    <m/>
    <m/>
    <m/>
    <m/>
    <n v="1"/>
    <s v="4"/>
    <s v="4"/>
    <m/>
    <m/>
    <m/>
    <m/>
    <m/>
    <m/>
    <m/>
    <m/>
    <m/>
  </r>
  <r>
    <s v="UCnrbbUoV6A2YP0tCJJfJSsg"/>
    <s v="UCnrbbUoV6A2YP0tCJJfJSsg"/>
    <m/>
    <m/>
    <m/>
    <m/>
    <m/>
    <m/>
    <m/>
    <m/>
    <s v="No"/>
    <n v="366"/>
    <m/>
    <m/>
    <s v="Posted Video"/>
    <x v="2"/>
    <m/>
    <m/>
    <m/>
    <m/>
    <m/>
    <s v="b6cQRd_1Umg"/>
    <s v="https://www.youtube.com/watch?v=b6cQRd_1Umg"/>
    <m/>
    <m/>
    <x v="362"/>
    <m/>
    <m/>
    <m/>
    <m/>
    <n v="5"/>
    <s v="4"/>
    <s v="4"/>
    <m/>
    <m/>
    <m/>
    <m/>
    <m/>
    <m/>
    <m/>
    <m/>
    <m/>
  </r>
  <r>
    <s v="UCnrbbUoV6A2YP0tCJJfJSsg"/>
    <s v="UCnrbbUoV6A2YP0tCJJfJSsg"/>
    <m/>
    <m/>
    <m/>
    <m/>
    <m/>
    <m/>
    <m/>
    <m/>
    <s v="No"/>
    <n v="367"/>
    <m/>
    <m/>
    <s v="Posted Video"/>
    <x v="2"/>
    <m/>
    <m/>
    <m/>
    <m/>
    <m/>
    <s v="JiEZOB3VElw"/>
    <s v="https://www.youtube.com/watch?v=JiEZOB3VElw"/>
    <m/>
    <m/>
    <x v="363"/>
    <m/>
    <m/>
    <m/>
    <m/>
    <n v="5"/>
    <s v="4"/>
    <s v="4"/>
    <m/>
    <m/>
    <m/>
    <m/>
    <m/>
    <m/>
    <m/>
    <m/>
    <m/>
  </r>
  <r>
    <s v="UCnrbbUoV6A2YP0tCJJfJSsg"/>
    <s v="UCnrbbUoV6A2YP0tCJJfJSsg"/>
    <m/>
    <m/>
    <m/>
    <m/>
    <m/>
    <m/>
    <m/>
    <m/>
    <s v="No"/>
    <n v="368"/>
    <m/>
    <m/>
    <s v="Posted Video"/>
    <x v="2"/>
    <m/>
    <m/>
    <m/>
    <m/>
    <m/>
    <s v="mjAq8eA7uOM"/>
    <s v="https://www.youtube.com/watch?v=mjAq8eA7uOM"/>
    <m/>
    <m/>
    <x v="364"/>
    <m/>
    <m/>
    <m/>
    <m/>
    <n v="5"/>
    <s v="4"/>
    <s v="4"/>
    <m/>
    <m/>
    <m/>
    <m/>
    <m/>
    <m/>
    <m/>
    <m/>
    <m/>
  </r>
  <r>
    <s v="UCnrbbUoV6A2YP0tCJJfJSsg"/>
    <s v="UCnrbbUoV6A2YP0tCJJfJSsg"/>
    <m/>
    <m/>
    <m/>
    <m/>
    <m/>
    <m/>
    <m/>
    <m/>
    <s v="No"/>
    <n v="369"/>
    <m/>
    <m/>
    <s v="Posted Video"/>
    <x v="2"/>
    <m/>
    <m/>
    <m/>
    <m/>
    <m/>
    <s v="l0n5rKT0ztI"/>
    <s v="https://www.youtube.com/watch?v=l0n5rKT0ztI"/>
    <m/>
    <m/>
    <x v="365"/>
    <m/>
    <m/>
    <m/>
    <m/>
    <n v="5"/>
    <s v="4"/>
    <s v="4"/>
    <m/>
    <m/>
    <m/>
    <m/>
    <m/>
    <m/>
    <m/>
    <m/>
    <m/>
  </r>
  <r>
    <s v="UCnrbbUoV6A2YP0tCJJfJSsg"/>
    <s v="UCnrbbUoV6A2YP0tCJJfJSsg"/>
    <m/>
    <m/>
    <m/>
    <m/>
    <m/>
    <m/>
    <m/>
    <m/>
    <s v="No"/>
    <n v="370"/>
    <m/>
    <m/>
    <s v="Posted Video"/>
    <x v="2"/>
    <m/>
    <m/>
    <m/>
    <m/>
    <m/>
    <s v="8lDndBPEDj4"/>
    <s v="https://www.youtube.com/watch?v=8lDndBPEDj4"/>
    <m/>
    <m/>
    <x v="366"/>
    <m/>
    <m/>
    <m/>
    <m/>
    <n v="5"/>
    <s v="4"/>
    <s v="4"/>
    <m/>
    <m/>
    <m/>
    <m/>
    <m/>
    <m/>
    <m/>
    <m/>
    <m/>
  </r>
  <r>
    <s v="UCerAw4EfTOnYYxLLPZAzMxQ"/>
    <s v="UCerAw4EfTOnYYxLLPZAzMxQ"/>
    <m/>
    <m/>
    <m/>
    <m/>
    <m/>
    <m/>
    <m/>
    <m/>
    <s v="No"/>
    <n v="371"/>
    <m/>
    <m/>
    <s v="Commented Video"/>
    <x v="0"/>
    <s v="Thanks for the tip, Marc!  NB: Marc Smith is a NodeXL superstar.  We have him to thank for this excellent open source social network resource."/>
    <s v="UCerAw4EfTOnYYxLLPZAzMxQ"/>
    <s v="James Cook"/>
    <s v="http://www.youtube.com/channel/UCerAw4EfTOnYYxLLPZAzMxQ"/>
    <m/>
    <s v="t8YHRVf60BU"/>
    <s v="https://www.youtube.com/watch?v=t8YHRVf60BU"/>
    <s v="none"/>
    <n v="0"/>
    <x v="367"/>
    <d v="2012-09-09T20:24:54.000"/>
    <m/>
    <m/>
    <s v=""/>
    <n v="17"/>
    <s v="1"/>
    <s v="1"/>
    <n v="2"/>
    <n v="8"/>
    <n v="0"/>
    <n v="0"/>
    <n v="0"/>
    <n v="0"/>
    <n v="23"/>
    <n v="92"/>
    <n v="25"/>
  </r>
  <r>
    <s v="UCerAw4EfTOnYYxLLPZAzMxQ"/>
    <s v="UCerAw4EfTOnYYxLLPZAzMxQ"/>
    <m/>
    <m/>
    <m/>
    <m/>
    <m/>
    <m/>
    <m/>
    <m/>
    <s v="No"/>
    <n v="372"/>
    <m/>
    <m/>
    <s v="Commented Video"/>
    <x v="0"/>
    <s v="KC, thanks for the comments.  Instead of looking for ONE tool that does everything you want, consider the possibility of taking each package&amp;#39;s strength and stitching them together.  For dynamic filtering and visualization, consider NodeXL or Gephi.  For analysis, consider network analysis in R, or, if you&amp;#39;re looking for a ready-to-go package with a good number of analytic tools, check out UCINET."/>
    <s v="UCerAw4EfTOnYYxLLPZAzMxQ"/>
    <s v="James Cook"/>
    <s v="http://www.youtube.com/channel/UCerAw4EfTOnYYxLLPZAzMxQ"/>
    <m/>
    <s v="08MqGSL9TNQ"/>
    <s v="https://www.youtube.com/watch?v=08MqGSL9TNQ"/>
    <s v="none"/>
    <n v="0"/>
    <x v="368"/>
    <d v="2013-10-04T13:03:09.000"/>
    <m/>
    <m/>
    <s v=""/>
    <n v="17"/>
    <s v="1"/>
    <s v="1"/>
    <n v="3"/>
    <n v="4.411764705882353"/>
    <n v="0"/>
    <n v="0"/>
    <n v="0"/>
    <n v="0"/>
    <n v="65"/>
    <n v="95.58823529411765"/>
    <n v="68"/>
  </r>
  <r>
    <s v="UCerAw4EfTOnYYxLLPZAzMxQ"/>
    <s v="UCerAw4EfTOnYYxLLPZAzMxQ"/>
    <m/>
    <m/>
    <m/>
    <m/>
    <m/>
    <m/>
    <m/>
    <m/>
    <s v="No"/>
    <n v="373"/>
    <m/>
    <m/>
    <s v="Commented Video"/>
    <x v="0"/>
    <s v="Update: this guide is old (more than 3 years old), so the link to download has changed.  Try here instead: &lt;a href=&quot;https://www.smrfoundation.org/nodexl/installation/&quot;&gt;https://www.smrfoundation.org/nodexl/installation/&lt;/a&gt;"/>
    <s v="UCerAw4EfTOnYYxLLPZAzMxQ"/>
    <s v="James Cook"/>
    <s v="http://www.youtube.com/channel/UCerAw4EfTOnYYxLLPZAzMxQ"/>
    <m/>
    <s v="Gs4NPuKIXdo"/>
    <s v="https://www.youtube.com/watch?v=Gs4NPuKIXdo"/>
    <s v="none"/>
    <n v="0"/>
    <x v="369"/>
    <d v="2018-12-03T15:03:26.000"/>
    <s v=" https://www.smrfoundation.org/nodexl/installation/ https://www.smrfoundation.org/nodexl/installation/"/>
    <s v="smrfoundation.org smrfoundation.org"/>
    <s v=""/>
    <n v="17"/>
    <s v="1"/>
    <s v="1"/>
    <n v="0"/>
    <n v="0"/>
    <n v="0"/>
    <n v="0"/>
    <n v="0"/>
    <n v="0"/>
    <n v="35"/>
    <n v="100"/>
    <n v="35"/>
  </r>
  <r>
    <s v="UCerAw4EfTOnYYxLLPZAzMxQ"/>
    <s v="UCerAw4EfTOnYYxLLPZAzMxQ"/>
    <m/>
    <m/>
    <m/>
    <m/>
    <m/>
    <m/>
    <m/>
    <m/>
    <s v="No"/>
    <n v="374"/>
    <m/>
    <m/>
    <s v="Posted Video"/>
    <x v="2"/>
    <m/>
    <m/>
    <m/>
    <m/>
    <m/>
    <s v="SUkcT9CYCMQ"/>
    <s v="https://www.youtube.com/watch?v=SUkcT9CYCMQ"/>
    <m/>
    <m/>
    <x v="370"/>
    <m/>
    <m/>
    <m/>
    <m/>
    <n v="17"/>
    <s v="1"/>
    <s v="1"/>
    <m/>
    <m/>
    <m/>
    <m/>
    <m/>
    <m/>
    <m/>
    <m/>
    <m/>
  </r>
  <r>
    <s v="UCerAw4EfTOnYYxLLPZAzMxQ"/>
    <s v="UCerAw4EfTOnYYxLLPZAzMxQ"/>
    <m/>
    <m/>
    <m/>
    <m/>
    <m/>
    <m/>
    <m/>
    <m/>
    <s v="No"/>
    <n v="375"/>
    <m/>
    <m/>
    <s v="Posted Video"/>
    <x v="2"/>
    <m/>
    <m/>
    <m/>
    <m/>
    <m/>
    <s v="vp7VXgvVAPg"/>
    <s v="https://www.youtube.com/watch?v=vp7VXgvVAPg"/>
    <m/>
    <m/>
    <x v="371"/>
    <m/>
    <m/>
    <m/>
    <m/>
    <n v="17"/>
    <s v="1"/>
    <s v="1"/>
    <m/>
    <m/>
    <m/>
    <m/>
    <m/>
    <m/>
    <m/>
    <m/>
    <m/>
  </r>
  <r>
    <s v="UCerAw4EfTOnYYxLLPZAzMxQ"/>
    <s v="UCerAw4EfTOnYYxLLPZAzMxQ"/>
    <m/>
    <m/>
    <m/>
    <m/>
    <m/>
    <m/>
    <m/>
    <m/>
    <s v="No"/>
    <n v="376"/>
    <m/>
    <m/>
    <s v="Posted Video"/>
    <x v="2"/>
    <m/>
    <m/>
    <m/>
    <m/>
    <m/>
    <s v="lBqT_KdC7YQ"/>
    <s v="https://www.youtube.com/watch?v=lBqT_KdC7YQ"/>
    <m/>
    <m/>
    <x v="372"/>
    <m/>
    <m/>
    <m/>
    <m/>
    <n v="17"/>
    <s v="1"/>
    <s v="1"/>
    <m/>
    <m/>
    <m/>
    <m/>
    <m/>
    <m/>
    <m/>
    <m/>
    <m/>
  </r>
  <r>
    <s v="UCerAw4EfTOnYYxLLPZAzMxQ"/>
    <s v="UCerAw4EfTOnYYxLLPZAzMxQ"/>
    <m/>
    <m/>
    <m/>
    <m/>
    <m/>
    <m/>
    <m/>
    <m/>
    <s v="No"/>
    <n v="377"/>
    <m/>
    <m/>
    <s v="Posted Video"/>
    <x v="2"/>
    <m/>
    <m/>
    <m/>
    <m/>
    <m/>
    <s v="bCENPBWjEaE"/>
    <s v="https://www.youtube.com/watch?v=bCENPBWjEaE"/>
    <m/>
    <m/>
    <x v="373"/>
    <m/>
    <m/>
    <m/>
    <m/>
    <n v="17"/>
    <s v="1"/>
    <s v="1"/>
    <m/>
    <m/>
    <m/>
    <m/>
    <m/>
    <m/>
    <m/>
    <m/>
    <m/>
  </r>
  <r>
    <s v="UCerAw4EfTOnYYxLLPZAzMxQ"/>
    <s v="UCerAw4EfTOnYYxLLPZAzMxQ"/>
    <m/>
    <m/>
    <m/>
    <m/>
    <m/>
    <m/>
    <m/>
    <m/>
    <s v="No"/>
    <n v="378"/>
    <m/>
    <m/>
    <s v="Posted Video"/>
    <x v="2"/>
    <m/>
    <m/>
    <m/>
    <m/>
    <m/>
    <s v="lbb2lMCSg64"/>
    <s v="https://www.youtube.com/watch?v=lbb2lMCSg64"/>
    <m/>
    <m/>
    <x v="374"/>
    <m/>
    <m/>
    <m/>
    <m/>
    <n v="17"/>
    <s v="1"/>
    <s v="1"/>
    <m/>
    <m/>
    <m/>
    <m/>
    <m/>
    <m/>
    <m/>
    <m/>
    <m/>
  </r>
  <r>
    <s v="UCerAw4EfTOnYYxLLPZAzMxQ"/>
    <s v="UCerAw4EfTOnYYxLLPZAzMxQ"/>
    <m/>
    <m/>
    <m/>
    <m/>
    <m/>
    <m/>
    <m/>
    <m/>
    <s v="No"/>
    <n v="379"/>
    <m/>
    <m/>
    <s v="Posted Video"/>
    <x v="2"/>
    <m/>
    <m/>
    <m/>
    <m/>
    <m/>
    <s v="1yCjhTuLA1o"/>
    <s v="https://www.youtube.com/watch?v=1yCjhTuLA1o"/>
    <m/>
    <m/>
    <x v="375"/>
    <m/>
    <m/>
    <m/>
    <m/>
    <n v="17"/>
    <s v="1"/>
    <s v="1"/>
    <m/>
    <m/>
    <m/>
    <m/>
    <m/>
    <m/>
    <m/>
    <m/>
    <m/>
  </r>
  <r>
    <s v="UCerAw4EfTOnYYxLLPZAzMxQ"/>
    <s v="UCerAw4EfTOnYYxLLPZAzMxQ"/>
    <m/>
    <m/>
    <m/>
    <m/>
    <m/>
    <m/>
    <m/>
    <m/>
    <s v="No"/>
    <n v="380"/>
    <m/>
    <m/>
    <s v="Posted Video"/>
    <x v="2"/>
    <m/>
    <m/>
    <m/>
    <m/>
    <m/>
    <s v="AyMwPYpmYng"/>
    <s v="https://www.youtube.com/watch?v=AyMwPYpmYng"/>
    <m/>
    <m/>
    <x v="376"/>
    <m/>
    <m/>
    <m/>
    <m/>
    <n v="17"/>
    <s v="1"/>
    <s v="1"/>
    <m/>
    <m/>
    <m/>
    <m/>
    <m/>
    <m/>
    <m/>
    <m/>
    <m/>
  </r>
  <r>
    <s v="UCerAw4EfTOnYYxLLPZAzMxQ"/>
    <s v="UCerAw4EfTOnYYxLLPZAzMxQ"/>
    <m/>
    <m/>
    <m/>
    <m/>
    <m/>
    <m/>
    <m/>
    <m/>
    <s v="No"/>
    <n v="381"/>
    <m/>
    <m/>
    <s v="Posted Video"/>
    <x v="2"/>
    <m/>
    <m/>
    <m/>
    <m/>
    <m/>
    <s v="_ci5QaUkAfw"/>
    <s v="https://www.youtube.com/watch?v=_ci5QaUkAfw"/>
    <m/>
    <m/>
    <x v="377"/>
    <m/>
    <m/>
    <m/>
    <m/>
    <n v="17"/>
    <s v="1"/>
    <s v="1"/>
    <m/>
    <m/>
    <m/>
    <m/>
    <m/>
    <m/>
    <m/>
    <m/>
    <m/>
  </r>
  <r>
    <s v="UCerAw4EfTOnYYxLLPZAzMxQ"/>
    <s v="UCerAw4EfTOnYYxLLPZAzMxQ"/>
    <m/>
    <m/>
    <m/>
    <m/>
    <m/>
    <m/>
    <m/>
    <m/>
    <s v="No"/>
    <n v="382"/>
    <m/>
    <m/>
    <s v="Posted Video"/>
    <x v="2"/>
    <m/>
    <m/>
    <m/>
    <m/>
    <m/>
    <s v="CwQ8IrHZDgA"/>
    <s v="https://www.youtube.com/watch?v=CwQ8IrHZDgA"/>
    <m/>
    <m/>
    <x v="378"/>
    <m/>
    <m/>
    <m/>
    <m/>
    <n v="17"/>
    <s v="1"/>
    <s v="1"/>
    <m/>
    <m/>
    <m/>
    <m/>
    <m/>
    <m/>
    <m/>
    <m/>
    <m/>
  </r>
  <r>
    <s v="UCerAw4EfTOnYYxLLPZAzMxQ"/>
    <s v="UCerAw4EfTOnYYxLLPZAzMxQ"/>
    <m/>
    <m/>
    <m/>
    <m/>
    <m/>
    <m/>
    <m/>
    <m/>
    <s v="No"/>
    <n v="383"/>
    <m/>
    <m/>
    <s v="Posted Video"/>
    <x v="2"/>
    <m/>
    <m/>
    <m/>
    <m/>
    <m/>
    <s v="t8YHRVf60BU"/>
    <s v="https://www.youtube.com/watch?v=t8YHRVf60BU"/>
    <m/>
    <m/>
    <x v="379"/>
    <m/>
    <m/>
    <m/>
    <m/>
    <n v="17"/>
    <s v="1"/>
    <s v="1"/>
    <m/>
    <m/>
    <m/>
    <m/>
    <m/>
    <m/>
    <m/>
    <m/>
    <m/>
  </r>
  <r>
    <s v="UCerAw4EfTOnYYxLLPZAzMxQ"/>
    <s v="UCerAw4EfTOnYYxLLPZAzMxQ"/>
    <m/>
    <m/>
    <m/>
    <m/>
    <m/>
    <m/>
    <m/>
    <m/>
    <s v="No"/>
    <n v="384"/>
    <m/>
    <m/>
    <s v="Posted Video"/>
    <x v="2"/>
    <m/>
    <m/>
    <m/>
    <m/>
    <m/>
    <s v="08MqGSL9TNQ"/>
    <s v="https://www.youtube.com/watch?v=08MqGSL9TNQ"/>
    <m/>
    <m/>
    <x v="380"/>
    <m/>
    <m/>
    <m/>
    <m/>
    <n v="17"/>
    <s v="1"/>
    <s v="1"/>
    <m/>
    <m/>
    <m/>
    <m/>
    <m/>
    <m/>
    <m/>
    <m/>
    <m/>
  </r>
  <r>
    <s v="UCerAw4EfTOnYYxLLPZAzMxQ"/>
    <s v="UCerAw4EfTOnYYxLLPZAzMxQ"/>
    <m/>
    <m/>
    <m/>
    <m/>
    <m/>
    <m/>
    <m/>
    <m/>
    <s v="No"/>
    <n v="385"/>
    <m/>
    <m/>
    <s v="Posted Video"/>
    <x v="2"/>
    <m/>
    <m/>
    <m/>
    <m/>
    <m/>
    <s v="Gs4NPuKIXdo"/>
    <s v="https://www.youtube.com/watch?v=Gs4NPuKIXdo"/>
    <m/>
    <m/>
    <x v="381"/>
    <m/>
    <m/>
    <m/>
    <m/>
    <n v="17"/>
    <s v="1"/>
    <s v="1"/>
    <m/>
    <m/>
    <m/>
    <m/>
    <m/>
    <m/>
    <m/>
    <m/>
    <m/>
  </r>
  <r>
    <s v="UCerAw4EfTOnYYxLLPZAzMxQ"/>
    <s v="UCerAw4EfTOnYYxLLPZAzMxQ"/>
    <m/>
    <m/>
    <m/>
    <m/>
    <m/>
    <m/>
    <m/>
    <m/>
    <s v="No"/>
    <n v="386"/>
    <m/>
    <m/>
    <s v="Posted Video"/>
    <x v="2"/>
    <m/>
    <m/>
    <m/>
    <m/>
    <m/>
    <s v="zEgrruOITHw"/>
    <s v="https://www.youtube.com/watch?v=zEgrruOITHw"/>
    <m/>
    <m/>
    <x v="382"/>
    <m/>
    <m/>
    <m/>
    <m/>
    <n v="17"/>
    <s v="1"/>
    <s v="1"/>
    <m/>
    <m/>
    <m/>
    <m/>
    <m/>
    <m/>
    <m/>
    <m/>
    <m/>
  </r>
  <r>
    <s v="UCerAw4EfTOnYYxLLPZAzMxQ"/>
    <s v="UCerAw4EfTOnYYxLLPZAzMxQ"/>
    <m/>
    <m/>
    <m/>
    <m/>
    <m/>
    <m/>
    <m/>
    <m/>
    <s v="No"/>
    <n v="387"/>
    <m/>
    <m/>
    <s v="Posted Video"/>
    <x v="2"/>
    <m/>
    <m/>
    <m/>
    <m/>
    <m/>
    <s v="PC-PgkhpsNc"/>
    <s v="https://www.youtube.com/watch?v=PC-PgkhpsNc"/>
    <m/>
    <m/>
    <x v="383"/>
    <m/>
    <m/>
    <m/>
    <m/>
    <n v="17"/>
    <s v="1"/>
    <s v="1"/>
    <m/>
    <m/>
    <m/>
    <m/>
    <m/>
    <m/>
    <m/>
    <m/>
    <m/>
  </r>
  <r>
    <s v="UCfpw3xq_g1xpdwlyq11atZQ"/>
    <s v="UCfpw3xq_g1xpdwlyq11atZQ"/>
    <m/>
    <m/>
    <m/>
    <m/>
    <m/>
    <m/>
    <m/>
    <m/>
    <s v="No"/>
    <n v="388"/>
    <m/>
    <m/>
    <s v="Posted Video"/>
    <x v="2"/>
    <m/>
    <m/>
    <m/>
    <m/>
    <m/>
    <s v="zMlwGOki4Yg"/>
    <s v="https://www.youtube.com/watch?v=zMlwGOki4Yg"/>
    <m/>
    <m/>
    <x v="384"/>
    <m/>
    <m/>
    <m/>
    <m/>
    <n v="3"/>
    <s v="3"/>
    <s v="3"/>
    <m/>
    <m/>
    <m/>
    <m/>
    <m/>
    <m/>
    <m/>
    <m/>
    <m/>
  </r>
  <r>
    <s v="UCfpw3xq_g1xpdwlyq11atZQ"/>
    <s v="UCfpw3xq_g1xpdwlyq11atZQ"/>
    <m/>
    <m/>
    <m/>
    <m/>
    <m/>
    <m/>
    <m/>
    <m/>
    <s v="No"/>
    <n v="389"/>
    <m/>
    <m/>
    <s v="Posted Video"/>
    <x v="2"/>
    <m/>
    <m/>
    <m/>
    <m/>
    <m/>
    <s v="owl9we4ldFI"/>
    <s v="https://www.youtube.com/watch?v=owl9we4ldFI"/>
    <m/>
    <m/>
    <x v="385"/>
    <m/>
    <m/>
    <m/>
    <m/>
    <n v="3"/>
    <s v="3"/>
    <s v="3"/>
    <m/>
    <m/>
    <m/>
    <m/>
    <m/>
    <m/>
    <m/>
    <m/>
    <m/>
  </r>
  <r>
    <s v="UCfpw3xq_g1xpdwlyq11atZQ"/>
    <s v="UCfpw3xq_g1xpdwlyq11atZQ"/>
    <m/>
    <m/>
    <m/>
    <m/>
    <m/>
    <m/>
    <m/>
    <m/>
    <s v="No"/>
    <n v="390"/>
    <m/>
    <m/>
    <s v="Posted Video"/>
    <x v="2"/>
    <m/>
    <m/>
    <m/>
    <m/>
    <m/>
    <s v="pwsImFyc0lE"/>
    <s v="https://www.youtube.com/watch?v=pwsImFyc0lE"/>
    <m/>
    <m/>
    <x v="386"/>
    <m/>
    <m/>
    <m/>
    <m/>
    <n v="3"/>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31"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7">
        <item x="0"/>
        <item x="1"/>
        <item x="2"/>
        <item x="3"/>
        <item x="4"/>
        <item x="5"/>
        <item x="6"/>
        <item x="7"/>
        <item x="8"/>
        <item x="9"/>
        <item x="10"/>
        <item x="11"/>
        <item x="12"/>
        <item x="13"/>
        <item x="14"/>
        <item x="15"/>
        <item t="default"/>
      </items>
    </pivotField>
  </pivotFields>
  <rowFields count="3">
    <field x="43"/>
    <field x="42"/>
    <field x="25"/>
  </rowFields>
  <rowItems count="406">
    <i>
      <x v="1"/>
    </i>
    <i r="1">
      <x v="5"/>
    </i>
    <i r="2">
      <x v="135"/>
    </i>
    <i>
      <x v="2"/>
    </i>
    <i r="1">
      <x v="8"/>
    </i>
    <i r="2">
      <x v="224"/>
    </i>
    <i r="1">
      <x v="9"/>
    </i>
    <i r="2">
      <x v="260"/>
    </i>
    <i>
      <x v="3"/>
    </i>
    <i r="1">
      <x v="2"/>
    </i>
    <i r="2">
      <x v="38"/>
    </i>
    <i r="1">
      <x v="8"/>
    </i>
    <i r="2">
      <x v="222"/>
    </i>
    <i r="2">
      <x v="232"/>
    </i>
    <i>
      <x v="4"/>
    </i>
    <i r="1">
      <x v="3"/>
    </i>
    <i r="2">
      <x v="61"/>
    </i>
    <i r="1">
      <x v="4"/>
    </i>
    <i r="2">
      <x v="96"/>
    </i>
    <i r="2">
      <x v="97"/>
    </i>
    <i r="2">
      <x v="109"/>
    </i>
    <i r="1">
      <x v="6"/>
    </i>
    <i r="2">
      <x v="163"/>
    </i>
    <i r="1">
      <x v="9"/>
    </i>
    <i r="2">
      <x v="252"/>
    </i>
    <i r="2">
      <x v="253"/>
    </i>
    <i r="2">
      <x v="267"/>
    </i>
    <i r="2">
      <x v="274"/>
    </i>
    <i r="1">
      <x v="10"/>
    </i>
    <i r="2">
      <x v="290"/>
    </i>
    <i>
      <x v="5"/>
    </i>
    <i r="1">
      <x v="1"/>
    </i>
    <i r="2">
      <x v="19"/>
    </i>
    <i r="1">
      <x v="2"/>
    </i>
    <i r="2">
      <x v="45"/>
    </i>
    <i r="2">
      <x v="51"/>
    </i>
    <i r="1">
      <x v="3"/>
    </i>
    <i r="2">
      <x v="77"/>
    </i>
    <i r="2">
      <x v="84"/>
    </i>
    <i r="2">
      <x v="88"/>
    </i>
    <i r="1">
      <x v="4"/>
    </i>
    <i r="2">
      <x v="99"/>
    </i>
    <i r="2">
      <x v="103"/>
    </i>
    <i r="2">
      <x v="116"/>
    </i>
    <i r="1">
      <x v="5"/>
    </i>
    <i r="2">
      <x v="144"/>
    </i>
    <i r="2">
      <x v="145"/>
    </i>
    <i r="1">
      <x v="8"/>
    </i>
    <i r="2">
      <x v="228"/>
    </i>
    <i r="1">
      <x v="9"/>
    </i>
    <i r="2">
      <x v="259"/>
    </i>
    <i r="2">
      <x v="267"/>
    </i>
    <i r="1">
      <x v="10"/>
    </i>
    <i r="2">
      <x v="278"/>
    </i>
    <i r="2">
      <x v="288"/>
    </i>
    <i r="2">
      <x v="289"/>
    </i>
    <i r="2">
      <x v="301"/>
    </i>
    <i r="2">
      <x v="305"/>
    </i>
    <i r="1">
      <x v="11"/>
    </i>
    <i r="2">
      <x v="312"/>
    </i>
    <i r="2">
      <x v="314"/>
    </i>
    <i r="2">
      <x v="327"/>
    </i>
    <i r="1">
      <x v="12"/>
    </i>
    <i r="2">
      <x v="340"/>
    </i>
    <i r="2">
      <x v="347"/>
    </i>
    <i>
      <x v="6"/>
    </i>
    <i r="1">
      <x v="1"/>
    </i>
    <i r="2">
      <x v="19"/>
    </i>
    <i r="1">
      <x v="2"/>
    </i>
    <i r="2">
      <x v="35"/>
    </i>
    <i r="1">
      <x v="4"/>
    </i>
    <i r="2">
      <x v="95"/>
    </i>
    <i r="2">
      <x v="97"/>
    </i>
    <i r="2">
      <x v="98"/>
    </i>
    <i r="1">
      <x v="5"/>
    </i>
    <i r="2">
      <x v="130"/>
    </i>
    <i r="2">
      <x v="131"/>
    </i>
    <i r="2">
      <x v="135"/>
    </i>
    <i r="1">
      <x v="6"/>
    </i>
    <i r="2">
      <x v="163"/>
    </i>
    <i r="1">
      <x v="8"/>
    </i>
    <i r="2">
      <x v="215"/>
    </i>
    <i r="2">
      <x v="223"/>
    </i>
    <i r="2">
      <x v="234"/>
    </i>
    <i r="2">
      <x v="236"/>
    </i>
    <i r="1">
      <x v="9"/>
    </i>
    <i r="2">
      <x v="245"/>
    </i>
    <i r="2">
      <x v="251"/>
    </i>
    <i r="1">
      <x v="10"/>
    </i>
    <i r="2">
      <x v="293"/>
    </i>
    <i r="1">
      <x v="12"/>
    </i>
    <i r="2">
      <x v="338"/>
    </i>
    <i r="2">
      <x v="339"/>
    </i>
    <i r="2">
      <x v="343"/>
    </i>
    <i>
      <x v="7"/>
    </i>
    <i r="1">
      <x v="1"/>
    </i>
    <i r="2">
      <x v="4"/>
    </i>
    <i r="1">
      <x v="2"/>
    </i>
    <i r="2">
      <x v="33"/>
    </i>
    <i r="2">
      <x v="35"/>
    </i>
    <i r="2">
      <x v="38"/>
    </i>
    <i r="2">
      <x v="45"/>
    </i>
    <i r="2">
      <x v="50"/>
    </i>
    <i r="1">
      <x v="3"/>
    </i>
    <i r="2">
      <x v="65"/>
    </i>
    <i r="2">
      <x v="77"/>
    </i>
    <i r="2">
      <x v="79"/>
    </i>
    <i r="1">
      <x v="4"/>
    </i>
    <i r="2">
      <x v="93"/>
    </i>
    <i r="2">
      <x v="99"/>
    </i>
    <i r="2">
      <x v="111"/>
    </i>
    <i r="1">
      <x v="5"/>
    </i>
    <i r="2">
      <x v="123"/>
    </i>
    <i r="2">
      <x v="128"/>
    </i>
    <i r="2">
      <x v="129"/>
    </i>
    <i r="2">
      <x v="132"/>
    </i>
    <i r="2">
      <x v="134"/>
    </i>
    <i r="2">
      <x v="152"/>
    </i>
    <i r="1">
      <x v="6"/>
    </i>
    <i r="2">
      <x v="169"/>
    </i>
    <i r="2">
      <x v="170"/>
    </i>
    <i r="2">
      <x v="171"/>
    </i>
    <i r="1">
      <x v="7"/>
    </i>
    <i r="2">
      <x v="209"/>
    </i>
    <i r="2">
      <x v="210"/>
    </i>
    <i r="1">
      <x v="8"/>
    </i>
    <i r="2">
      <x v="214"/>
    </i>
    <i r="2">
      <x v="224"/>
    </i>
    <i r="2">
      <x v="240"/>
    </i>
    <i r="1">
      <x v="9"/>
    </i>
    <i r="2">
      <x v="245"/>
    </i>
    <i r="2">
      <x v="247"/>
    </i>
    <i r="2">
      <x v="258"/>
    </i>
    <i r="2">
      <x v="261"/>
    </i>
    <i r="1">
      <x v="10"/>
    </i>
    <i r="2">
      <x v="277"/>
    </i>
    <i r="2">
      <x v="283"/>
    </i>
    <i r="2">
      <x v="285"/>
    </i>
    <i r="2">
      <x v="291"/>
    </i>
    <i r="2">
      <x v="294"/>
    </i>
    <i r="1">
      <x v="11"/>
    </i>
    <i r="2">
      <x v="315"/>
    </i>
    <i r="2">
      <x v="319"/>
    </i>
    <i r="2">
      <x v="322"/>
    </i>
    <i r="1">
      <x v="12"/>
    </i>
    <i r="2">
      <x v="338"/>
    </i>
    <i r="2">
      <x v="347"/>
    </i>
    <i r="2">
      <x v="365"/>
    </i>
    <i>
      <x v="8"/>
    </i>
    <i r="1">
      <x v="1"/>
    </i>
    <i r="2">
      <x v="13"/>
    </i>
    <i r="1">
      <x v="2"/>
    </i>
    <i r="2">
      <x v="49"/>
    </i>
    <i r="2">
      <x v="54"/>
    </i>
    <i r="2">
      <x v="56"/>
    </i>
    <i r="1">
      <x v="3"/>
    </i>
    <i r="2">
      <x v="61"/>
    </i>
    <i r="2">
      <x v="65"/>
    </i>
    <i r="2">
      <x v="72"/>
    </i>
    <i r="2">
      <x v="79"/>
    </i>
    <i r="2">
      <x v="83"/>
    </i>
    <i r="1">
      <x v="5"/>
    </i>
    <i r="2">
      <x v="124"/>
    </i>
    <i r="2">
      <x v="125"/>
    </i>
    <i r="2">
      <x v="130"/>
    </i>
    <i r="2">
      <x v="131"/>
    </i>
    <i r="2">
      <x v="132"/>
    </i>
    <i r="2">
      <x v="133"/>
    </i>
    <i r="2">
      <x v="144"/>
    </i>
    <i r="2">
      <x v="149"/>
    </i>
    <i r="2">
      <x v="152"/>
    </i>
    <i r="1">
      <x v="6"/>
    </i>
    <i r="2">
      <x v="173"/>
    </i>
    <i r="1">
      <x v="7"/>
    </i>
    <i r="2">
      <x v="186"/>
    </i>
    <i r="2">
      <x v="187"/>
    </i>
    <i r="2">
      <x v="188"/>
    </i>
    <i r="2">
      <x v="208"/>
    </i>
    <i r="1">
      <x v="8"/>
    </i>
    <i r="2">
      <x v="216"/>
    </i>
    <i r="2">
      <x v="221"/>
    </i>
    <i r="2">
      <x v="224"/>
    </i>
    <i r="2">
      <x v="230"/>
    </i>
    <i r="2">
      <x v="243"/>
    </i>
    <i r="2">
      <x v="244"/>
    </i>
    <i r="1">
      <x v="9"/>
    </i>
    <i r="2">
      <x v="251"/>
    </i>
    <i r="2">
      <x v="258"/>
    </i>
    <i r="1">
      <x v="10"/>
    </i>
    <i r="2">
      <x v="287"/>
    </i>
    <i r="2">
      <x v="288"/>
    </i>
    <i r="2">
      <x v="289"/>
    </i>
    <i r="1">
      <x v="11"/>
    </i>
    <i r="2">
      <x v="327"/>
    </i>
    <i r="1">
      <x v="12"/>
    </i>
    <i r="2">
      <x v="341"/>
    </i>
    <i>
      <x v="9"/>
    </i>
    <i r="1">
      <x v="1"/>
    </i>
    <i r="2">
      <x v="6"/>
    </i>
    <i r="2">
      <x v="7"/>
    </i>
    <i r="2">
      <x v="19"/>
    </i>
    <i r="2">
      <x v="27"/>
    </i>
    <i r="1">
      <x v="2"/>
    </i>
    <i r="2">
      <x v="43"/>
    </i>
    <i r="2">
      <x v="49"/>
    </i>
    <i r="2">
      <x v="51"/>
    </i>
    <i r="1">
      <x v="3"/>
    </i>
    <i r="2">
      <x v="62"/>
    </i>
    <i r="1">
      <x v="4"/>
    </i>
    <i r="2">
      <x v="115"/>
    </i>
    <i r="1">
      <x v="5"/>
    </i>
    <i r="2">
      <x v="146"/>
    </i>
    <i r="1">
      <x v="6"/>
    </i>
    <i r="2">
      <x v="163"/>
    </i>
    <i r="2">
      <x v="164"/>
    </i>
    <i r="2">
      <x v="171"/>
    </i>
    <i r="2">
      <x v="182"/>
    </i>
    <i r="1">
      <x v="7"/>
    </i>
    <i r="2">
      <x v="184"/>
    </i>
    <i r="2">
      <x v="188"/>
    </i>
    <i r="2">
      <x v="201"/>
    </i>
    <i r="2">
      <x v="211"/>
    </i>
    <i r="1">
      <x v="9"/>
    </i>
    <i r="2">
      <x v="248"/>
    </i>
    <i r="2">
      <x v="251"/>
    </i>
    <i r="2">
      <x v="264"/>
    </i>
    <i r="2">
      <x v="271"/>
    </i>
    <i r="1">
      <x v="10"/>
    </i>
    <i r="2">
      <x v="293"/>
    </i>
    <i r="1">
      <x v="11"/>
    </i>
    <i r="2">
      <x v="307"/>
    </i>
    <i r="2">
      <x v="327"/>
    </i>
    <i r="1">
      <x v="12"/>
    </i>
    <i r="2">
      <x v="336"/>
    </i>
    <i>
      <x v="10"/>
    </i>
    <i r="1">
      <x v="1"/>
    </i>
    <i r="2">
      <x v="25"/>
    </i>
    <i r="1">
      <x v="2"/>
    </i>
    <i r="2">
      <x v="32"/>
    </i>
    <i r="2">
      <x v="40"/>
    </i>
    <i r="2">
      <x v="48"/>
    </i>
    <i r="2">
      <x v="51"/>
    </i>
    <i r="2">
      <x v="58"/>
    </i>
    <i r="1">
      <x v="3"/>
    </i>
    <i r="2">
      <x v="82"/>
    </i>
    <i r="2">
      <x v="83"/>
    </i>
    <i r="2">
      <x v="86"/>
    </i>
    <i r="2">
      <x v="87"/>
    </i>
    <i r="2">
      <x v="88"/>
    </i>
    <i r="1">
      <x v="4"/>
    </i>
    <i r="2">
      <x v="101"/>
    </i>
    <i r="2">
      <x v="117"/>
    </i>
    <i r="1">
      <x v="5"/>
    </i>
    <i r="2">
      <x v="127"/>
    </i>
    <i r="1">
      <x v="6"/>
    </i>
    <i r="2">
      <x v="173"/>
    </i>
    <i r="1">
      <x v="7"/>
    </i>
    <i r="2">
      <x v="183"/>
    </i>
    <i r="2">
      <x v="190"/>
    </i>
    <i r="1">
      <x v="8"/>
    </i>
    <i r="2">
      <x v="225"/>
    </i>
    <i r="1">
      <x v="10"/>
    </i>
    <i r="2">
      <x v="290"/>
    </i>
    <i r="1">
      <x v="11"/>
    </i>
    <i r="2">
      <x v="334"/>
    </i>
    <i r="1">
      <x v="12"/>
    </i>
    <i r="2">
      <x v="338"/>
    </i>
    <i>
      <x v="11"/>
    </i>
    <i r="1">
      <x v="1"/>
    </i>
    <i r="2">
      <x v="1"/>
    </i>
    <i r="2">
      <x v="2"/>
    </i>
    <i r="2">
      <x v="3"/>
    </i>
    <i r="2">
      <x v="12"/>
    </i>
    <i r="2">
      <x v="13"/>
    </i>
    <i r="2">
      <x v="19"/>
    </i>
    <i r="2">
      <x v="20"/>
    </i>
    <i r="2">
      <x v="22"/>
    </i>
    <i r="1">
      <x v="2"/>
    </i>
    <i r="2">
      <x v="32"/>
    </i>
    <i r="1">
      <x v="3"/>
    </i>
    <i r="2">
      <x v="71"/>
    </i>
    <i r="2">
      <x v="72"/>
    </i>
    <i r="2">
      <x v="74"/>
    </i>
    <i r="1">
      <x v="4"/>
    </i>
    <i r="2">
      <x v="100"/>
    </i>
    <i r="2">
      <x v="104"/>
    </i>
    <i r="2">
      <x v="112"/>
    </i>
    <i r="1">
      <x v="5"/>
    </i>
    <i r="2">
      <x v="129"/>
    </i>
    <i r="2">
      <x v="136"/>
    </i>
    <i r="2">
      <x v="145"/>
    </i>
    <i r="1">
      <x v="7"/>
    </i>
    <i r="2">
      <x v="199"/>
    </i>
    <i r="2">
      <x v="212"/>
    </i>
    <i r="1">
      <x v="8"/>
    </i>
    <i r="2">
      <x v="214"/>
    </i>
    <i r="2">
      <x v="229"/>
    </i>
    <i r="2">
      <x v="235"/>
    </i>
    <i r="1">
      <x v="10"/>
    </i>
    <i r="2">
      <x v="286"/>
    </i>
    <i r="2">
      <x v="295"/>
    </i>
    <i r="2">
      <x v="300"/>
    </i>
    <i r="2">
      <x v="301"/>
    </i>
    <i r="1">
      <x v="11"/>
    </i>
    <i r="2">
      <x v="335"/>
    </i>
    <i>
      <x v="12"/>
    </i>
    <i r="1">
      <x v="1"/>
    </i>
    <i r="2">
      <x v="17"/>
    </i>
    <i r="1">
      <x v="2"/>
    </i>
    <i r="2">
      <x v="59"/>
    </i>
    <i r="1">
      <x v="3"/>
    </i>
    <i r="2">
      <x v="63"/>
    </i>
    <i r="2">
      <x v="67"/>
    </i>
    <i r="2">
      <x v="72"/>
    </i>
    <i r="2">
      <x v="73"/>
    </i>
    <i r="1">
      <x v="4"/>
    </i>
    <i r="2">
      <x v="93"/>
    </i>
    <i r="2">
      <x v="94"/>
    </i>
    <i r="2">
      <x v="105"/>
    </i>
    <i r="2">
      <x v="115"/>
    </i>
    <i r="1">
      <x v="5"/>
    </i>
    <i r="2">
      <x v="137"/>
    </i>
    <i r="2">
      <x v="141"/>
    </i>
    <i r="2">
      <x v="151"/>
    </i>
    <i r="1">
      <x v="6"/>
    </i>
    <i r="2">
      <x v="155"/>
    </i>
    <i r="1">
      <x v="7"/>
    </i>
    <i r="2">
      <x v="183"/>
    </i>
    <i r="2">
      <x v="195"/>
    </i>
    <i r="2">
      <x v="196"/>
    </i>
    <i r="2">
      <x v="210"/>
    </i>
    <i r="1">
      <x v="10"/>
    </i>
    <i r="2">
      <x v="278"/>
    </i>
    <i r="1">
      <x v="11"/>
    </i>
    <i r="2">
      <x v="308"/>
    </i>
    <i r="2">
      <x v="322"/>
    </i>
    <i r="2">
      <x v="323"/>
    </i>
    <i r="2">
      <x v="325"/>
    </i>
    <i r="1">
      <x v="12"/>
    </i>
    <i r="2">
      <x v="338"/>
    </i>
    <i r="2">
      <x v="356"/>
    </i>
    <i>
      <x v="13"/>
    </i>
    <i r="1">
      <x v="1"/>
    </i>
    <i r="2">
      <x v="4"/>
    </i>
    <i r="2">
      <x v="11"/>
    </i>
    <i r="2">
      <x v="14"/>
    </i>
    <i r="2">
      <x v="26"/>
    </i>
    <i r="1">
      <x v="2"/>
    </i>
    <i r="2">
      <x v="38"/>
    </i>
    <i r="2">
      <x v="40"/>
    </i>
    <i r="2">
      <x v="55"/>
    </i>
    <i r="1">
      <x v="3"/>
    </i>
    <i r="2">
      <x v="64"/>
    </i>
    <i r="2">
      <x v="67"/>
    </i>
    <i r="1">
      <x v="4"/>
    </i>
    <i r="2">
      <x v="104"/>
    </i>
    <i r="2">
      <x v="116"/>
    </i>
    <i r="1">
      <x v="5"/>
    </i>
    <i r="2">
      <x v="125"/>
    </i>
    <i r="2">
      <x v="127"/>
    </i>
    <i r="2">
      <x v="128"/>
    </i>
    <i r="2">
      <x v="133"/>
    </i>
    <i r="2">
      <x v="148"/>
    </i>
    <i r="2">
      <x v="152"/>
    </i>
    <i r="1">
      <x v="7"/>
    </i>
    <i r="2">
      <x v="204"/>
    </i>
    <i r="1">
      <x v="8"/>
    </i>
    <i r="2">
      <x v="219"/>
    </i>
    <i r="1">
      <x v="9"/>
    </i>
    <i r="2">
      <x v="271"/>
    </i>
    <i r="1">
      <x v="10"/>
    </i>
    <i r="2">
      <x v="277"/>
    </i>
    <i r="2">
      <x v="279"/>
    </i>
    <i r="2">
      <x v="280"/>
    </i>
    <i r="1">
      <x v="11"/>
    </i>
    <i r="2">
      <x v="312"/>
    </i>
    <i r="2">
      <x v="313"/>
    </i>
    <i r="2">
      <x v="323"/>
    </i>
    <i r="2">
      <x v="326"/>
    </i>
    <i r="2">
      <x v="327"/>
    </i>
    <i r="1">
      <x v="12"/>
    </i>
    <i r="2">
      <x v="341"/>
    </i>
    <i>
      <x v="14"/>
    </i>
    <i r="1">
      <x v="1"/>
    </i>
    <i r="2">
      <x v="7"/>
    </i>
    <i r="2">
      <x v="13"/>
    </i>
    <i r="2">
      <x v="14"/>
    </i>
    <i r="1">
      <x v="3"/>
    </i>
    <i r="2">
      <x v="82"/>
    </i>
    <i r="2">
      <x v="86"/>
    </i>
    <i r="2">
      <x v="89"/>
    </i>
    <i r="1">
      <x v="4"/>
    </i>
    <i r="2">
      <x v="93"/>
    </i>
    <i r="2">
      <x v="101"/>
    </i>
    <i r="2">
      <x v="102"/>
    </i>
    <i r="2">
      <x v="103"/>
    </i>
    <i r="2">
      <x v="110"/>
    </i>
    <i r="2">
      <x v="111"/>
    </i>
    <i r="2">
      <x v="112"/>
    </i>
    <i r="1">
      <x v="5"/>
    </i>
    <i r="2">
      <x v="134"/>
    </i>
    <i r="2">
      <x v="135"/>
    </i>
    <i r="2">
      <x v="137"/>
    </i>
    <i r="2">
      <x v="140"/>
    </i>
    <i r="2">
      <x v="15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13923564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390" totalsRowShown="0" headerRowDxfId="329" dataDxfId="293">
  <autoFilter ref="A2:AP390"/>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11" totalsRowShown="0" headerRowDxfId="211" dataDxfId="210">
  <autoFilter ref="A1:G1311"/>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3" totalsRowShown="0" headerRowDxfId="202" dataDxfId="201">
  <autoFilter ref="A1:L64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8" totalsRowShown="0" headerRowDxfId="160" dataDxfId="159">
  <autoFilter ref="A2:C38"/>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136" dataDxfId="135">
  <autoFilter ref="A1:V11"/>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111" dataDxfId="110">
  <autoFilter ref="A14:V24"/>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7:V28" totalsRowShown="0" headerRowDxfId="86" dataDxfId="85">
  <autoFilter ref="A27:V28"/>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30:V40" totalsRowShown="0" headerRowDxfId="61" dataDxfId="60">
  <autoFilter ref="A30:V40"/>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226" totalsRowShown="0" headerRowDxfId="328" dataDxfId="279">
  <autoFilter ref="A2:BN226"/>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43:V53" totalsRowShown="0" headerRowDxfId="36" dataDxfId="35">
  <autoFilter ref="A43:V53"/>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27" totalsRowShown="0" headerRowDxfId="327">
  <autoFilter ref="A2:AL27"/>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5" totalsRowShown="0" headerRowDxfId="324" dataDxfId="323">
  <autoFilter ref="A1:C225"/>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04">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youtube.com/results?search_query=%23SaveBabakanSiliwangi" TargetMode="External" /><Relationship Id="rId2" Type="http://schemas.openxmlformats.org/officeDocument/2006/relationships/hyperlink" Target="https://www.smrfoundation.org/nodexl/installation/" TargetMode="External" /><Relationship Id="rId3" Type="http://schemas.openxmlformats.org/officeDocument/2006/relationships/hyperlink" Target="http://www.youtube.com/results?search_query=%23adidas" TargetMode="External" /><Relationship Id="rId4" Type="http://schemas.openxmlformats.org/officeDocument/2006/relationships/hyperlink" Target="http://maine.edu/" TargetMode="External" /><Relationship Id="rId5" Type="http://schemas.openxmlformats.org/officeDocument/2006/relationships/hyperlink" Target="http://www.youtube.com/results?search_query=%23love" TargetMode="External" /><Relationship Id="rId6" Type="http://schemas.openxmlformats.org/officeDocument/2006/relationships/hyperlink" Target="https://www.youtube.com/watch?v=lbb2lMCSg64" TargetMode="External" /><Relationship Id="rId7" Type="http://schemas.openxmlformats.org/officeDocument/2006/relationships/hyperlink" Target="https://nodexlgraphgallery.org/Pages/registration.aspx" TargetMode="External" /><Relationship Id="rId8" Type="http://schemas.openxmlformats.org/officeDocument/2006/relationships/hyperlink" Target="http://www.youtube.com/results?search_query=%23SaveBabakan" TargetMode="External" /><Relationship Id="rId9" Type="http://schemas.openxmlformats.org/officeDocument/2006/relationships/hyperlink" Target="https://nodexlgraphgallery.org/Pages/registration.asp" TargetMode="External" /><Relationship Id="rId10" Type="http://schemas.openxmlformats.org/officeDocument/2006/relationships/hyperlink" Target="https://www.smrfoundation.org/2019/09/05/nodexl-pro-facebook-data-importers-no-longer-functional/" TargetMode="External" /><Relationship Id="rId11" Type="http://schemas.openxmlformats.org/officeDocument/2006/relationships/hyperlink" Target="https://www.smrfoundation.org/nodexl/installation/" TargetMode="External" /><Relationship Id="rId12" Type="http://schemas.openxmlformats.org/officeDocument/2006/relationships/hyperlink" Target="http://maine.edu/" TargetMode="External" /><Relationship Id="rId13" Type="http://schemas.openxmlformats.org/officeDocument/2006/relationships/hyperlink" Target="https://www.peteraldhous.com/CAR/NodeXL_CAR2012.pdf" TargetMode="External" /><Relationship Id="rId14" Type="http://schemas.openxmlformats.org/officeDocument/2006/relationships/hyperlink" Target="http://www.nodexlgraphgallery.org/Pages/Graph.aspx?graphID=57173" TargetMode="External" /><Relationship Id="rId15" Type="http://schemas.openxmlformats.org/officeDocument/2006/relationships/hyperlink" Target="http://www.amazon.com/Analyzing-Social-Media-Networks-NodeXL/dp/0123822297" TargetMode="External" /><Relationship Id="rId16" Type="http://schemas.openxmlformats.org/officeDocument/2006/relationships/hyperlink" Target="https://nodexlgraphgallery.org/Pages/registration.asp" TargetMode="External" /><Relationship Id="rId17" Type="http://schemas.openxmlformats.org/officeDocument/2006/relationships/hyperlink" Target="https://nodexlgraphgallery.org/Pages/registration.aspx" TargetMode="External" /><Relationship Id="rId18" Type="http://schemas.openxmlformats.org/officeDocument/2006/relationships/hyperlink" Target="https://www.youtube.com/watch?v=lbb2lMCSg64" TargetMode="External" /><Relationship Id="rId19" Type="http://schemas.openxmlformats.org/officeDocument/2006/relationships/hyperlink" Target="http://www.youtube.com/results?search_query=%23love" TargetMode="External" /><Relationship Id="rId20" Type="http://schemas.openxmlformats.org/officeDocument/2006/relationships/hyperlink" Target="http://developer.twitter.com/" TargetMode="External" /><Relationship Id="rId21" Type="http://schemas.openxmlformats.org/officeDocument/2006/relationships/hyperlink" Target="http://www.youtube.com/results?search_query=%23SaveBabakanSiliwangi" TargetMode="External" /><Relationship Id="rId22" Type="http://schemas.openxmlformats.org/officeDocument/2006/relationships/hyperlink" Target="http://www.youtube.com/results?search_query=%23adidas" TargetMode="External" /><Relationship Id="rId23" Type="http://schemas.openxmlformats.org/officeDocument/2006/relationships/hyperlink" Target="http://www.youtube.com/results?search_query=%23SaveBabakan" TargetMode="External" /><Relationship Id="rId24" Type="http://schemas.openxmlformats.org/officeDocument/2006/relationships/hyperlink" Target="https://www.smrfoundation.org/2019/09/05/nodexl-pro-facebook-data-importers-no-longer-functional/" TargetMode="External" /><Relationship Id="rId25" Type="http://schemas.openxmlformats.org/officeDocument/2006/relationships/hyperlink" Target="https://docs.google.com/document/d/1GdYAVkfBXcNrpG_b_EAZwHldbSvUpY3GFjEESWu474c/edit?usp=sharing" TargetMode="External" /><Relationship Id="rId26" Type="http://schemas.openxmlformats.org/officeDocument/2006/relationships/hyperlink" Target="https://vivianfrancos.com/conoce-tus-mapas-de-audiencia-nodexl/" TargetMode="External" /><Relationship Id="rId27" Type="http://schemas.openxmlformats.org/officeDocument/2006/relationships/hyperlink" Target="http://vivianfrancos.com/" TargetMode="External" /><Relationship Id="rId28" Type="http://schemas.openxmlformats.org/officeDocument/2006/relationships/hyperlink" Target="https://drive.google.com/file/d/1setCSR5TRFgLAsY6IIbyKG9_eT02Ay5C/view?usp=sharing" TargetMode="External" /><Relationship Id="rId29" Type="http://schemas.openxmlformats.org/officeDocument/2006/relationships/hyperlink" Target="https://www.nodexlgraphgallery.org/Pages/Registration.aspx" TargetMode="External" /><Relationship Id="rId30" Type="http://schemas.openxmlformats.org/officeDocument/2006/relationships/hyperlink" Target="http://download.cnet.com/NodeXL/3001-2077_4-10967171.html" TargetMode="External" /><Relationship Id="rId31" Type="http://schemas.openxmlformats.org/officeDocument/2006/relationships/hyperlink" Target="http://www.youtube.com/results?search_query=%23m%C3%BClteci" TargetMode="External" /><Relationship Id="rId32" Type="http://schemas.openxmlformats.org/officeDocument/2006/relationships/hyperlink" Target="http://nodexl.codeplex.com/" TargetMode="External" /><Relationship Id="rId33" Type="http://schemas.openxmlformats.org/officeDocument/2006/relationships/hyperlink" Target="http://blog.ibpad.com.br/" TargetMode="External" /><Relationship Id="rId34" Type="http://schemas.openxmlformats.org/officeDocument/2006/relationships/hyperlink" Target="http://www.youtube.com/watch?v=39yXz72qdow&amp;amp;t=4m08s" TargetMode="External" /><Relationship Id="rId35" Type="http://schemas.openxmlformats.org/officeDocument/2006/relationships/hyperlink" Target="https://archive.codeplex.com/?p=nodexl" TargetMode="External" /><Relationship Id="rId36" Type="http://schemas.openxmlformats.org/officeDocument/2006/relationships/hyperlink" Target="https://nodexl.codeplex.com/" TargetMode="External" /><Relationship Id="rId37" Type="http://schemas.openxmlformats.org/officeDocument/2006/relationships/hyperlink" Target="https://nodexl.codeplex.com/" TargetMode="Externa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328</v>
      </c>
      <c r="U2" s="13" t="s">
        <v>329</v>
      </c>
      <c r="V2" s="13" t="s">
        <v>330</v>
      </c>
      <c r="W2" s="13" t="s">
        <v>331</v>
      </c>
      <c r="X2" s="13" t="s">
        <v>332</v>
      </c>
      <c r="Y2" s="13" t="s">
        <v>333</v>
      </c>
      <c r="Z2" s="13" t="s">
        <v>334</v>
      </c>
      <c r="AA2" s="13" t="s">
        <v>335</v>
      </c>
      <c r="AB2" s="13" t="s">
        <v>336</v>
      </c>
      <c r="AC2" s="13" t="s">
        <v>337</v>
      </c>
      <c r="AD2" s="13" t="s">
        <v>338</v>
      </c>
      <c r="AE2" t="s">
        <v>1377</v>
      </c>
      <c r="AF2" s="13" t="s">
        <v>1416</v>
      </c>
      <c r="AG2" s="13" t="s">
        <v>1417</v>
      </c>
      <c r="AH2" s="54" t="s">
        <v>2072</v>
      </c>
      <c r="AI2" s="54" t="s">
        <v>2073</v>
      </c>
      <c r="AJ2" s="54" t="s">
        <v>2074</v>
      </c>
      <c r="AK2" s="54" t="s">
        <v>2075</v>
      </c>
      <c r="AL2" s="54" t="s">
        <v>2076</v>
      </c>
      <c r="AM2" s="54" t="s">
        <v>2077</v>
      </c>
      <c r="AN2" s="54" t="s">
        <v>2078</v>
      </c>
      <c r="AO2" s="54" t="s">
        <v>2079</v>
      </c>
      <c r="AP2" s="54" t="s">
        <v>2080</v>
      </c>
    </row>
    <row r="3" spans="1:42" ht="15" customHeight="1">
      <c r="A3" s="65" t="s">
        <v>562</v>
      </c>
      <c r="B3" s="65" t="s">
        <v>521</v>
      </c>
      <c r="C3" s="66" t="s">
        <v>2942</v>
      </c>
      <c r="D3" s="67">
        <v>3</v>
      </c>
      <c r="E3" s="68"/>
      <c r="F3" s="69">
        <v>40</v>
      </c>
      <c r="G3" s="66"/>
      <c r="H3" s="70"/>
      <c r="I3" s="71"/>
      <c r="J3" s="71"/>
      <c r="K3" s="35" t="s">
        <v>65</v>
      </c>
      <c r="L3" s="72">
        <v>3</v>
      </c>
      <c r="M3" s="72"/>
      <c r="N3" s="73"/>
      <c r="O3" s="80" t="s">
        <v>563</v>
      </c>
      <c r="P3" s="80" t="s">
        <v>325</v>
      </c>
      <c r="Q3" s="83" t="s">
        <v>851</v>
      </c>
      <c r="R3" s="80" t="s">
        <v>562</v>
      </c>
      <c r="S3" s="80" t="s">
        <v>1034</v>
      </c>
      <c r="T3" s="85" t="str">
        <f>HYPERLINK("http://www.youtube.com/channel/UCdmhCH2BrYLQeiYzykYSBlA")</f>
        <v>http://www.youtube.com/channel/UCdmhCH2BrYLQeiYzykYSBlA</v>
      </c>
      <c r="U3" s="80"/>
      <c r="V3" s="80" t="s">
        <v>1135</v>
      </c>
      <c r="W3" s="85" t="str">
        <f>HYPERLINK("https://www.youtube.com/watch?v=vi01cIzeiqw")</f>
        <v>https://www.youtube.com/watch?v=vi01cIzeiqw</v>
      </c>
      <c r="X3" s="80" t="s">
        <v>1183</v>
      </c>
      <c r="Y3" s="80">
        <v>0</v>
      </c>
      <c r="Z3" s="87">
        <v>42518.05482638889</v>
      </c>
      <c r="AA3" s="87">
        <v>42518.05482638889</v>
      </c>
      <c r="AB3" s="80"/>
      <c r="AC3" s="80"/>
      <c r="AD3" s="83" t="s">
        <v>1239</v>
      </c>
      <c r="AE3" s="82">
        <v>1</v>
      </c>
      <c r="AF3" s="83" t="str">
        <f>REPLACE(INDEX(GroupVertices[Group],MATCH(Edges[[#This Row],[Vertex 1]],GroupVertices[Vertex],0)),1,1,"")</f>
        <v>25</v>
      </c>
      <c r="AG3" s="83" t="str">
        <f>REPLACE(INDEX(GroupVertices[Group],MATCH(Edges[[#This Row],[Vertex 2]],GroupVertices[Vertex],0)),1,1,"")</f>
        <v>25</v>
      </c>
      <c r="AH3" s="111">
        <v>0</v>
      </c>
      <c r="AI3" s="112">
        <v>0</v>
      </c>
      <c r="AJ3" s="111">
        <v>0</v>
      </c>
      <c r="AK3" s="112">
        <v>0</v>
      </c>
      <c r="AL3" s="111">
        <v>0</v>
      </c>
      <c r="AM3" s="112">
        <v>0</v>
      </c>
      <c r="AN3" s="111">
        <v>5</v>
      </c>
      <c r="AO3" s="112">
        <v>100</v>
      </c>
      <c r="AP3" s="111">
        <v>5</v>
      </c>
    </row>
    <row r="4" spans="1:42" ht="15" customHeight="1">
      <c r="A4" s="65" t="s">
        <v>339</v>
      </c>
      <c r="B4" s="65" t="s">
        <v>525</v>
      </c>
      <c r="C4" s="66" t="s">
        <v>2942</v>
      </c>
      <c r="D4" s="67">
        <v>3</v>
      </c>
      <c r="E4" s="68"/>
      <c r="F4" s="69">
        <v>40</v>
      </c>
      <c r="G4" s="66"/>
      <c r="H4" s="70"/>
      <c r="I4" s="71"/>
      <c r="J4" s="71"/>
      <c r="K4" s="35" t="s">
        <v>65</v>
      </c>
      <c r="L4" s="79">
        <v>4</v>
      </c>
      <c r="M4" s="79"/>
      <c r="N4" s="73"/>
      <c r="O4" s="81" t="s">
        <v>563</v>
      </c>
      <c r="P4" s="81" t="s">
        <v>325</v>
      </c>
      <c r="Q4" s="84" t="s">
        <v>567</v>
      </c>
      <c r="R4" s="81" t="s">
        <v>339</v>
      </c>
      <c r="S4" s="81" t="s">
        <v>852</v>
      </c>
      <c r="T4" s="86" t="str">
        <f>HYPERLINK("http://www.youtube.com/channel/UCEm5HlGvJXSCTKsFxWih04g")</f>
        <v>http://www.youtube.com/channel/UCEm5HlGvJXSCTKsFxWih04g</v>
      </c>
      <c r="U4" s="81"/>
      <c r="V4" s="81" t="s">
        <v>1089</v>
      </c>
      <c r="W4" s="86" t="str">
        <f>HYPERLINK("https://www.youtube.com/watch?v=hN3-wTOxrsY")</f>
        <v>https://www.youtube.com/watch?v=hN3-wTOxrsY</v>
      </c>
      <c r="X4" s="81" t="s">
        <v>1183</v>
      </c>
      <c r="Y4" s="81">
        <v>0</v>
      </c>
      <c r="Z4" s="88">
        <v>41600.621770833335</v>
      </c>
      <c r="AA4" s="88">
        <v>41600.621770833335</v>
      </c>
      <c r="AB4" s="81"/>
      <c r="AC4" s="81"/>
      <c r="AD4" s="84" t="s">
        <v>1239</v>
      </c>
      <c r="AE4" s="82">
        <v>1</v>
      </c>
      <c r="AF4" s="83" t="str">
        <f>REPLACE(INDEX(GroupVertices[Group],MATCH(Edges[[#This Row],[Vertex 1]],GroupVertices[Vertex],0)),1,1,"")</f>
        <v>11</v>
      </c>
      <c r="AG4" s="83" t="str">
        <f>REPLACE(INDEX(GroupVertices[Group],MATCH(Edges[[#This Row],[Vertex 2]],GroupVertices[Vertex],0)),1,1,"")</f>
        <v>11</v>
      </c>
      <c r="AH4" s="111">
        <v>3</v>
      </c>
      <c r="AI4" s="112">
        <v>6.25</v>
      </c>
      <c r="AJ4" s="111">
        <v>0</v>
      </c>
      <c r="AK4" s="112">
        <v>0</v>
      </c>
      <c r="AL4" s="111">
        <v>0</v>
      </c>
      <c r="AM4" s="112">
        <v>0</v>
      </c>
      <c r="AN4" s="111">
        <v>45</v>
      </c>
      <c r="AO4" s="112">
        <v>93.75</v>
      </c>
      <c r="AP4" s="111">
        <v>48</v>
      </c>
    </row>
    <row r="5" spans="1:42" ht="15">
      <c r="A5" s="65" t="s">
        <v>340</v>
      </c>
      <c r="B5" s="65" t="s">
        <v>525</v>
      </c>
      <c r="C5" s="66" t="s">
        <v>2942</v>
      </c>
      <c r="D5" s="67">
        <v>3</v>
      </c>
      <c r="E5" s="68"/>
      <c r="F5" s="69">
        <v>40</v>
      </c>
      <c r="G5" s="66"/>
      <c r="H5" s="70"/>
      <c r="I5" s="71"/>
      <c r="J5" s="71"/>
      <c r="K5" s="35" t="s">
        <v>65</v>
      </c>
      <c r="L5" s="79">
        <v>5</v>
      </c>
      <c r="M5" s="79"/>
      <c r="N5" s="73"/>
      <c r="O5" s="81" t="s">
        <v>563</v>
      </c>
      <c r="P5" s="81" t="s">
        <v>325</v>
      </c>
      <c r="Q5" s="84" t="s">
        <v>568</v>
      </c>
      <c r="R5" s="81" t="s">
        <v>340</v>
      </c>
      <c r="S5" s="81" t="s">
        <v>853</v>
      </c>
      <c r="T5" s="86" t="str">
        <f>HYPERLINK("http://www.youtube.com/channel/UC6q8R5SJYsuHhleU2GgJKGA")</f>
        <v>http://www.youtube.com/channel/UC6q8R5SJYsuHhleU2GgJKGA</v>
      </c>
      <c r="U5" s="81"/>
      <c r="V5" s="81" t="s">
        <v>1089</v>
      </c>
      <c r="W5" s="86" t="str">
        <f>HYPERLINK("https://www.youtube.com/watch?v=hN3-wTOxrsY")</f>
        <v>https://www.youtube.com/watch?v=hN3-wTOxrsY</v>
      </c>
      <c r="X5" s="81" t="s">
        <v>1183</v>
      </c>
      <c r="Y5" s="81">
        <v>0</v>
      </c>
      <c r="Z5" s="88">
        <v>41769.07821759259</v>
      </c>
      <c r="AA5" s="88">
        <v>41769.07821759259</v>
      </c>
      <c r="AB5" s="81"/>
      <c r="AC5" s="81"/>
      <c r="AD5" s="84" t="s">
        <v>1239</v>
      </c>
      <c r="AE5" s="82">
        <v>1</v>
      </c>
      <c r="AF5" s="83" t="str">
        <f>REPLACE(INDEX(GroupVertices[Group],MATCH(Edges[[#This Row],[Vertex 1]],GroupVertices[Vertex],0)),1,1,"")</f>
        <v>11</v>
      </c>
      <c r="AG5" s="83" t="str">
        <f>REPLACE(INDEX(GroupVertices[Group],MATCH(Edges[[#This Row],[Vertex 2]],GroupVertices[Vertex],0)),1,1,"")</f>
        <v>11</v>
      </c>
      <c r="AH5" s="111">
        <v>2</v>
      </c>
      <c r="AI5" s="112">
        <v>4.166666666666667</v>
      </c>
      <c r="AJ5" s="111">
        <v>0</v>
      </c>
      <c r="AK5" s="112">
        <v>0</v>
      </c>
      <c r="AL5" s="111">
        <v>0</v>
      </c>
      <c r="AM5" s="112">
        <v>0</v>
      </c>
      <c r="AN5" s="111">
        <v>46</v>
      </c>
      <c r="AO5" s="112">
        <v>95.83333333333333</v>
      </c>
      <c r="AP5" s="111">
        <v>48</v>
      </c>
    </row>
    <row r="6" spans="1:42" ht="15">
      <c r="A6" s="65" t="s">
        <v>341</v>
      </c>
      <c r="B6" s="65" t="s">
        <v>525</v>
      </c>
      <c r="C6" s="66" t="s">
        <v>2942</v>
      </c>
      <c r="D6" s="67">
        <v>3</v>
      </c>
      <c r="E6" s="68"/>
      <c r="F6" s="69">
        <v>40</v>
      </c>
      <c r="G6" s="66"/>
      <c r="H6" s="70"/>
      <c r="I6" s="71"/>
      <c r="J6" s="71"/>
      <c r="K6" s="35" t="s">
        <v>65</v>
      </c>
      <c r="L6" s="79">
        <v>6</v>
      </c>
      <c r="M6" s="79"/>
      <c r="N6" s="73"/>
      <c r="O6" s="81" t="s">
        <v>563</v>
      </c>
      <c r="P6" s="81" t="s">
        <v>325</v>
      </c>
      <c r="Q6" s="84" t="s">
        <v>569</v>
      </c>
      <c r="R6" s="81" t="s">
        <v>341</v>
      </c>
      <c r="S6" s="81" t="s">
        <v>854</v>
      </c>
      <c r="T6" s="86" t="str">
        <f>HYPERLINK("http://www.youtube.com/channel/UC2jHQ9iN3gjeCs6mCCyI_1g")</f>
        <v>http://www.youtube.com/channel/UC2jHQ9iN3gjeCs6mCCyI_1g</v>
      </c>
      <c r="U6" s="81"/>
      <c r="V6" s="81" t="s">
        <v>1089</v>
      </c>
      <c r="W6" s="86" t="str">
        <f>HYPERLINK("https://www.youtube.com/watch?v=hN3-wTOxrsY")</f>
        <v>https://www.youtube.com/watch?v=hN3-wTOxrsY</v>
      </c>
      <c r="X6" s="81" t="s">
        <v>1183</v>
      </c>
      <c r="Y6" s="81">
        <v>0</v>
      </c>
      <c r="Z6" s="88">
        <v>42068.02347222222</v>
      </c>
      <c r="AA6" s="88">
        <v>42068.02347222222</v>
      </c>
      <c r="AB6" s="81"/>
      <c r="AC6" s="81"/>
      <c r="AD6" s="84" t="s">
        <v>1239</v>
      </c>
      <c r="AE6" s="82">
        <v>1</v>
      </c>
      <c r="AF6" s="83" t="str">
        <f>REPLACE(INDEX(GroupVertices[Group],MATCH(Edges[[#This Row],[Vertex 1]],GroupVertices[Vertex],0)),1,1,"")</f>
        <v>11</v>
      </c>
      <c r="AG6" s="83" t="str">
        <f>REPLACE(INDEX(GroupVertices[Group],MATCH(Edges[[#This Row],[Vertex 2]],GroupVertices[Vertex],0)),1,1,"")</f>
        <v>11</v>
      </c>
      <c r="AH6" s="111">
        <v>0</v>
      </c>
      <c r="AI6" s="112">
        <v>0</v>
      </c>
      <c r="AJ6" s="111">
        <v>0</v>
      </c>
      <c r="AK6" s="112">
        <v>0</v>
      </c>
      <c r="AL6" s="111">
        <v>0</v>
      </c>
      <c r="AM6" s="112">
        <v>0</v>
      </c>
      <c r="AN6" s="111">
        <v>5</v>
      </c>
      <c r="AO6" s="112">
        <v>100</v>
      </c>
      <c r="AP6" s="111">
        <v>5</v>
      </c>
    </row>
    <row r="7" spans="1:42" ht="15">
      <c r="A7" s="65" t="s">
        <v>342</v>
      </c>
      <c r="B7" s="65" t="s">
        <v>525</v>
      </c>
      <c r="C7" s="66" t="s">
        <v>2942</v>
      </c>
      <c r="D7" s="67">
        <v>3</v>
      </c>
      <c r="E7" s="68"/>
      <c r="F7" s="69">
        <v>40</v>
      </c>
      <c r="G7" s="66"/>
      <c r="H7" s="70"/>
      <c r="I7" s="71"/>
      <c r="J7" s="71"/>
      <c r="K7" s="35" t="s">
        <v>65</v>
      </c>
      <c r="L7" s="79">
        <v>7</v>
      </c>
      <c r="M7" s="79"/>
      <c r="N7" s="73"/>
      <c r="O7" s="81" t="s">
        <v>563</v>
      </c>
      <c r="P7" s="81" t="s">
        <v>325</v>
      </c>
      <c r="Q7" s="84" t="s">
        <v>570</v>
      </c>
      <c r="R7" s="81" t="s">
        <v>342</v>
      </c>
      <c r="S7" s="81" t="s">
        <v>855</v>
      </c>
      <c r="T7" s="86" t="str">
        <f>HYPERLINK("http://www.youtube.com/channel/UC625RO8AWt6tzDrFxA22tPQ")</f>
        <v>http://www.youtube.com/channel/UC625RO8AWt6tzDrFxA22tPQ</v>
      </c>
      <c r="U7" s="81"/>
      <c r="V7" s="81" t="s">
        <v>1089</v>
      </c>
      <c r="W7" s="86" t="str">
        <f>HYPERLINK("https://www.youtube.com/watch?v=hN3-wTOxrsY")</f>
        <v>https://www.youtube.com/watch?v=hN3-wTOxrsY</v>
      </c>
      <c r="X7" s="81" t="s">
        <v>1183</v>
      </c>
      <c r="Y7" s="81">
        <v>1</v>
      </c>
      <c r="Z7" s="88">
        <v>42132.484085648146</v>
      </c>
      <c r="AA7" s="88">
        <v>42132.484085648146</v>
      </c>
      <c r="AB7" s="81"/>
      <c r="AC7" s="81"/>
      <c r="AD7" s="84" t="s">
        <v>1239</v>
      </c>
      <c r="AE7" s="82">
        <v>1</v>
      </c>
      <c r="AF7" s="83" t="str">
        <f>REPLACE(INDEX(GroupVertices[Group],MATCH(Edges[[#This Row],[Vertex 1]],GroupVertices[Vertex],0)),1,1,"")</f>
        <v>11</v>
      </c>
      <c r="AG7" s="83" t="str">
        <f>REPLACE(INDEX(GroupVertices[Group],MATCH(Edges[[#This Row],[Vertex 2]],GroupVertices[Vertex],0)),1,1,"")</f>
        <v>11</v>
      </c>
      <c r="AH7" s="111">
        <v>1</v>
      </c>
      <c r="AI7" s="112">
        <v>6.666666666666667</v>
      </c>
      <c r="AJ7" s="111">
        <v>0</v>
      </c>
      <c r="AK7" s="112">
        <v>0</v>
      </c>
      <c r="AL7" s="111">
        <v>0</v>
      </c>
      <c r="AM7" s="112">
        <v>0</v>
      </c>
      <c r="AN7" s="111">
        <v>14</v>
      </c>
      <c r="AO7" s="112">
        <v>93.33333333333333</v>
      </c>
      <c r="AP7" s="111">
        <v>15</v>
      </c>
    </row>
    <row r="8" spans="1:42" ht="15">
      <c r="A8" s="65" t="s">
        <v>343</v>
      </c>
      <c r="B8" s="65" t="s">
        <v>344</v>
      </c>
      <c r="C8" s="66" t="s">
        <v>2942</v>
      </c>
      <c r="D8" s="67">
        <v>3</v>
      </c>
      <c r="E8" s="68"/>
      <c r="F8" s="69">
        <v>40</v>
      </c>
      <c r="G8" s="66"/>
      <c r="H8" s="70"/>
      <c r="I8" s="71"/>
      <c r="J8" s="71"/>
      <c r="K8" s="35" t="s">
        <v>65</v>
      </c>
      <c r="L8" s="79">
        <v>8</v>
      </c>
      <c r="M8" s="79"/>
      <c r="N8" s="73"/>
      <c r="O8" s="81" t="s">
        <v>564</v>
      </c>
      <c r="P8" s="81" t="s">
        <v>566</v>
      </c>
      <c r="Q8" s="84" t="s">
        <v>571</v>
      </c>
      <c r="R8" s="81" t="s">
        <v>343</v>
      </c>
      <c r="S8" s="81" t="s">
        <v>856</v>
      </c>
      <c r="T8" s="86" t="str">
        <f>HYPERLINK("http://www.youtube.com/channel/UCwmXhkHeZ7EbApGCHtpuAlg")</f>
        <v>http://www.youtube.com/channel/UCwmXhkHeZ7EbApGCHtpuAlg</v>
      </c>
      <c r="U8" s="81" t="s">
        <v>1035</v>
      </c>
      <c r="V8" s="81" t="s">
        <v>1089</v>
      </c>
      <c r="W8" s="86" t="str">
        <f>HYPERLINK("https://www.youtube.com/watch?v=hN3-wTOxrsY")</f>
        <v>https://www.youtube.com/watch?v=hN3-wTOxrsY</v>
      </c>
      <c r="X8" s="81" t="s">
        <v>1183</v>
      </c>
      <c r="Y8" s="81">
        <v>0</v>
      </c>
      <c r="Z8" s="88">
        <v>42448.68678240741</v>
      </c>
      <c r="AA8" s="88">
        <v>42448.68678240741</v>
      </c>
      <c r="AB8" s="81"/>
      <c r="AC8" s="81"/>
      <c r="AD8" s="84" t="s">
        <v>1239</v>
      </c>
      <c r="AE8" s="82">
        <v>1</v>
      </c>
      <c r="AF8" s="83" t="str">
        <f>REPLACE(INDEX(GroupVertices[Group],MATCH(Edges[[#This Row],[Vertex 1]],GroupVertices[Vertex],0)),1,1,"")</f>
        <v>11</v>
      </c>
      <c r="AG8" s="83" t="str">
        <f>REPLACE(INDEX(GroupVertices[Group],MATCH(Edges[[#This Row],[Vertex 2]],GroupVertices[Vertex],0)),1,1,"")</f>
        <v>11</v>
      </c>
      <c r="AH8" s="111">
        <v>0</v>
      </c>
      <c r="AI8" s="112">
        <v>0</v>
      </c>
      <c r="AJ8" s="111">
        <v>0</v>
      </c>
      <c r="AK8" s="112">
        <v>0</v>
      </c>
      <c r="AL8" s="111">
        <v>0</v>
      </c>
      <c r="AM8" s="112">
        <v>0</v>
      </c>
      <c r="AN8" s="111">
        <v>5</v>
      </c>
      <c r="AO8" s="112">
        <v>100</v>
      </c>
      <c r="AP8" s="111">
        <v>5</v>
      </c>
    </row>
    <row r="9" spans="1:42" ht="15">
      <c r="A9" s="65" t="s">
        <v>344</v>
      </c>
      <c r="B9" s="65" t="s">
        <v>525</v>
      </c>
      <c r="C9" s="66" t="s">
        <v>2942</v>
      </c>
      <c r="D9" s="67">
        <v>3</v>
      </c>
      <c r="E9" s="68"/>
      <c r="F9" s="69">
        <v>40</v>
      </c>
      <c r="G9" s="66"/>
      <c r="H9" s="70"/>
      <c r="I9" s="71"/>
      <c r="J9" s="71"/>
      <c r="K9" s="35" t="s">
        <v>65</v>
      </c>
      <c r="L9" s="79">
        <v>9</v>
      </c>
      <c r="M9" s="79"/>
      <c r="N9" s="73"/>
      <c r="O9" s="81" t="s">
        <v>563</v>
      </c>
      <c r="P9" s="81" t="s">
        <v>325</v>
      </c>
      <c r="Q9" s="84" t="s">
        <v>572</v>
      </c>
      <c r="R9" s="81" t="s">
        <v>344</v>
      </c>
      <c r="S9" s="81" t="s">
        <v>857</v>
      </c>
      <c r="T9" s="86" t="str">
        <f>HYPERLINK("http://www.youtube.com/channel/UCl9gn5ZSJFQ33S_h1D8lGlg")</f>
        <v>http://www.youtube.com/channel/UCl9gn5ZSJFQ33S_h1D8lGlg</v>
      </c>
      <c r="U9" s="81"/>
      <c r="V9" s="81" t="s">
        <v>1089</v>
      </c>
      <c r="W9" s="86" t="str">
        <f>HYPERLINK("https://www.youtube.com/watch?v=hN3-wTOxrsY")</f>
        <v>https://www.youtube.com/watch?v=hN3-wTOxrsY</v>
      </c>
      <c r="X9" s="81" t="s">
        <v>1183</v>
      </c>
      <c r="Y9" s="81">
        <v>1</v>
      </c>
      <c r="Z9" s="88">
        <v>42368.82157407407</v>
      </c>
      <c r="AA9" s="88">
        <v>42368.82157407407</v>
      </c>
      <c r="AB9" s="81"/>
      <c r="AC9" s="81"/>
      <c r="AD9" s="84" t="s">
        <v>1239</v>
      </c>
      <c r="AE9" s="82">
        <v>1</v>
      </c>
      <c r="AF9" s="83" t="str">
        <f>REPLACE(INDEX(GroupVertices[Group],MATCH(Edges[[#This Row],[Vertex 1]],GroupVertices[Vertex],0)),1,1,"")</f>
        <v>11</v>
      </c>
      <c r="AG9" s="83" t="str">
        <f>REPLACE(INDEX(GroupVertices[Group],MATCH(Edges[[#This Row],[Vertex 2]],GroupVertices[Vertex],0)),1,1,"")</f>
        <v>11</v>
      </c>
      <c r="AH9" s="111">
        <v>0</v>
      </c>
      <c r="AI9" s="112">
        <v>0</v>
      </c>
      <c r="AJ9" s="111">
        <v>0</v>
      </c>
      <c r="AK9" s="112">
        <v>0</v>
      </c>
      <c r="AL9" s="111">
        <v>0</v>
      </c>
      <c r="AM9" s="112">
        <v>0</v>
      </c>
      <c r="AN9" s="111">
        <v>9</v>
      </c>
      <c r="AO9" s="112">
        <v>100</v>
      </c>
      <c r="AP9" s="111">
        <v>9</v>
      </c>
    </row>
    <row r="10" spans="1:42" ht="15">
      <c r="A10" s="65" t="s">
        <v>345</v>
      </c>
      <c r="B10" s="65" t="s">
        <v>450</v>
      </c>
      <c r="C10" s="66" t="s">
        <v>2942</v>
      </c>
      <c r="D10" s="67">
        <v>3</v>
      </c>
      <c r="E10" s="68"/>
      <c r="F10" s="69">
        <v>40</v>
      </c>
      <c r="G10" s="66"/>
      <c r="H10" s="70"/>
      <c r="I10" s="71"/>
      <c r="J10" s="71"/>
      <c r="K10" s="35" t="s">
        <v>65</v>
      </c>
      <c r="L10" s="79">
        <v>10</v>
      </c>
      <c r="M10" s="79"/>
      <c r="N10" s="73"/>
      <c r="O10" s="81" t="s">
        <v>563</v>
      </c>
      <c r="P10" s="81" t="s">
        <v>325</v>
      </c>
      <c r="Q10" s="84" t="s">
        <v>573</v>
      </c>
      <c r="R10" s="81" t="s">
        <v>345</v>
      </c>
      <c r="S10" s="81" t="s">
        <v>858</v>
      </c>
      <c r="T10" s="86" t="str">
        <f>HYPERLINK("http://www.youtube.com/channel/UCXBDxpU7E1QT0J1nS-BGnQg")</f>
        <v>http://www.youtube.com/channel/UCXBDxpU7E1QT0J1nS-BGnQg</v>
      </c>
      <c r="U10" s="81"/>
      <c r="V10" s="81" t="s">
        <v>1090</v>
      </c>
      <c r="W10" s="86" t="str">
        <f>HYPERLINK("https://www.youtube.com/watch?v=PmDKuAnKiGA")</f>
        <v>https://www.youtube.com/watch?v=PmDKuAnKiGA</v>
      </c>
      <c r="X10" s="81" t="s">
        <v>1183</v>
      </c>
      <c r="Y10" s="81">
        <v>0</v>
      </c>
      <c r="Z10" s="88">
        <v>42250.44415509259</v>
      </c>
      <c r="AA10" s="88">
        <v>42250.44415509259</v>
      </c>
      <c r="AB10" s="81"/>
      <c r="AC10" s="81"/>
      <c r="AD10" s="84" t="s">
        <v>1239</v>
      </c>
      <c r="AE10" s="82">
        <v>1</v>
      </c>
      <c r="AF10" s="83" t="str">
        <f>REPLACE(INDEX(GroupVertices[Group],MATCH(Edges[[#This Row],[Vertex 1]],GroupVertices[Vertex],0)),1,1,"")</f>
        <v>6</v>
      </c>
      <c r="AG10" s="83" t="str">
        <f>REPLACE(INDEX(GroupVertices[Group],MATCH(Edges[[#This Row],[Vertex 2]],GroupVertices[Vertex],0)),1,1,"")</f>
        <v>6</v>
      </c>
      <c r="AH10" s="111">
        <v>1</v>
      </c>
      <c r="AI10" s="112">
        <v>7.6923076923076925</v>
      </c>
      <c r="AJ10" s="111">
        <v>0</v>
      </c>
      <c r="AK10" s="112">
        <v>0</v>
      </c>
      <c r="AL10" s="111">
        <v>0</v>
      </c>
      <c r="AM10" s="112">
        <v>0</v>
      </c>
      <c r="AN10" s="111">
        <v>12</v>
      </c>
      <c r="AO10" s="112">
        <v>92.3076923076923</v>
      </c>
      <c r="AP10" s="111">
        <v>13</v>
      </c>
    </row>
    <row r="11" spans="1:42" ht="15">
      <c r="A11" s="65" t="s">
        <v>346</v>
      </c>
      <c r="B11" s="65" t="s">
        <v>526</v>
      </c>
      <c r="C11" s="66" t="s">
        <v>2942</v>
      </c>
      <c r="D11" s="67">
        <v>3</v>
      </c>
      <c r="E11" s="68"/>
      <c r="F11" s="69">
        <v>40</v>
      </c>
      <c r="G11" s="66"/>
      <c r="H11" s="70"/>
      <c r="I11" s="71"/>
      <c r="J11" s="71"/>
      <c r="K11" s="35" t="s">
        <v>65</v>
      </c>
      <c r="L11" s="79">
        <v>11</v>
      </c>
      <c r="M11" s="79"/>
      <c r="N11" s="73"/>
      <c r="O11" s="81" t="s">
        <v>563</v>
      </c>
      <c r="P11" s="81" t="s">
        <v>325</v>
      </c>
      <c r="Q11" s="84" t="s">
        <v>574</v>
      </c>
      <c r="R11" s="81" t="s">
        <v>346</v>
      </c>
      <c r="S11" s="81" t="s">
        <v>859</v>
      </c>
      <c r="T11" s="86" t="str">
        <f>HYPERLINK("http://www.youtube.com/channel/UCSnr1NggLE8M63F61SbWGDw")</f>
        <v>http://www.youtube.com/channel/UCSnr1NggLE8M63F61SbWGDw</v>
      </c>
      <c r="U11" s="81"/>
      <c r="V11" s="81" t="s">
        <v>1091</v>
      </c>
      <c r="W11" s="86" t="str">
        <f>HYPERLINK("https://www.youtube.com/watch?v=hTnnEnpQkkk")</f>
        <v>https://www.youtube.com/watch?v=hTnnEnpQkkk</v>
      </c>
      <c r="X11" s="81" t="s">
        <v>1183</v>
      </c>
      <c r="Y11" s="81">
        <v>0</v>
      </c>
      <c r="Z11" s="88">
        <v>42350.79545138889</v>
      </c>
      <c r="AA11" s="88">
        <v>42350.79545138889</v>
      </c>
      <c r="AB11" s="81"/>
      <c r="AC11" s="81"/>
      <c r="AD11" s="84" t="s">
        <v>1239</v>
      </c>
      <c r="AE11" s="82">
        <v>1</v>
      </c>
      <c r="AF11" s="83" t="str">
        <f>REPLACE(INDEX(GroupVertices[Group],MATCH(Edges[[#This Row],[Vertex 1]],GroupVertices[Vertex],0)),1,1,"")</f>
        <v>14</v>
      </c>
      <c r="AG11" s="83" t="str">
        <f>REPLACE(INDEX(GroupVertices[Group],MATCH(Edges[[#This Row],[Vertex 2]],GroupVertices[Vertex],0)),1,1,"")</f>
        <v>14</v>
      </c>
      <c r="AH11" s="111">
        <v>0</v>
      </c>
      <c r="AI11" s="112">
        <v>0</v>
      </c>
      <c r="AJ11" s="111">
        <v>0</v>
      </c>
      <c r="AK11" s="112">
        <v>0</v>
      </c>
      <c r="AL11" s="111">
        <v>0</v>
      </c>
      <c r="AM11" s="112">
        <v>0</v>
      </c>
      <c r="AN11" s="111">
        <v>4</v>
      </c>
      <c r="AO11" s="112">
        <v>100</v>
      </c>
      <c r="AP11" s="111">
        <v>4</v>
      </c>
    </row>
    <row r="12" spans="1:42" ht="15">
      <c r="A12" s="65" t="s">
        <v>347</v>
      </c>
      <c r="B12" s="65" t="s">
        <v>526</v>
      </c>
      <c r="C12" s="66" t="s">
        <v>2942</v>
      </c>
      <c r="D12" s="67">
        <v>3</v>
      </c>
      <c r="E12" s="68"/>
      <c r="F12" s="69">
        <v>40</v>
      </c>
      <c r="G12" s="66"/>
      <c r="H12" s="70"/>
      <c r="I12" s="71"/>
      <c r="J12" s="71"/>
      <c r="K12" s="35" t="s">
        <v>65</v>
      </c>
      <c r="L12" s="79">
        <v>12</v>
      </c>
      <c r="M12" s="79"/>
      <c r="N12" s="73"/>
      <c r="O12" s="81" t="s">
        <v>563</v>
      </c>
      <c r="P12" s="81" t="s">
        <v>325</v>
      </c>
      <c r="Q12" s="84" t="s">
        <v>575</v>
      </c>
      <c r="R12" s="81" t="s">
        <v>347</v>
      </c>
      <c r="S12" s="81" t="s">
        <v>860</v>
      </c>
      <c r="T12" s="86" t="str">
        <f>HYPERLINK("http://www.youtube.com/channel/UCXxni4CYgsAp7QsUM71k2gQ")</f>
        <v>http://www.youtube.com/channel/UCXxni4CYgsAp7QsUM71k2gQ</v>
      </c>
      <c r="U12" s="81"/>
      <c r="V12" s="81" t="s">
        <v>1091</v>
      </c>
      <c r="W12" s="86" t="str">
        <f>HYPERLINK("https://www.youtube.com/watch?v=hTnnEnpQkkk")</f>
        <v>https://www.youtube.com/watch?v=hTnnEnpQkkk</v>
      </c>
      <c r="X12" s="81" t="s">
        <v>1183</v>
      </c>
      <c r="Y12" s="81">
        <v>1</v>
      </c>
      <c r="Z12" s="88">
        <v>43187.74649305556</v>
      </c>
      <c r="AA12" s="88">
        <v>43187.74649305556</v>
      </c>
      <c r="AB12" s="81"/>
      <c r="AC12" s="81"/>
      <c r="AD12" s="84" t="s">
        <v>1239</v>
      </c>
      <c r="AE12" s="82">
        <v>1</v>
      </c>
      <c r="AF12" s="83" t="str">
        <f>REPLACE(INDEX(GroupVertices[Group],MATCH(Edges[[#This Row],[Vertex 1]],GroupVertices[Vertex],0)),1,1,"")</f>
        <v>14</v>
      </c>
      <c r="AG12" s="83" t="str">
        <f>REPLACE(INDEX(GroupVertices[Group],MATCH(Edges[[#This Row],[Vertex 2]],GroupVertices[Vertex],0)),1,1,"")</f>
        <v>14</v>
      </c>
      <c r="AH12" s="111">
        <v>0</v>
      </c>
      <c r="AI12" s="112">
        <v>0</v>
      </c>
      <c r="AJ12" s="111">
        <v>0</v>
      </c>
      <c r="AK12" s="112">
        <v>0</v>
      </c>
      <c r="AL12" s="111">
        <v>0</v>
      </c>
      <c r="AM12" s="112">
        <v>0</v>
      </c>
      <c r="AN12" s="111">
        <v>14</v>
      </c>
      <c r="AO12" s="112">
        <v>100</v>
      </c>
      <c r="AP12" s="111">
        <v>14</v>
      </c>
    </row>
    <row r="13" spans="1:42" ht="15">
      <c r="A13" s="65" t="s">
        <v>348</v>
      </c>
      <c r="B13" s="65" t="s">
        <v>526</v>
      </c>
      <c r="C13" s="66" t="s">
        <v>2942</v>
      </c>
      <c r="D13" s="67">
        <v>3</v>
      </c>
      <c r="E13" s="68"/>
      <c r="F13" s="69">
        <v>40</v>
      </c>
      <c r="G13" s="66"/>
      <c r="H13" s="70"/>
      <c r="I13" s="71"/>
      <c r="J13" s="71"/>
      <c r="K13" s="35" t="s">
        <v>65</v>
      </c>
      <c r="L13" s="79">
        <v>13</v>
      </c>
      <c r="M13" s="79"/>
      <c r="N13" s="73"/>
      <c r="O13" s="81" t="s">
        <v>563</v>
      </c>
      <c r="P13" s="81" t="s">
        <v>325</v>
      </c>
      <c r="Q13" s="84" t="s">
        <v>576</v>
      </c>
      <c r="R13" s="81" t="s">
        <v>348</v>
      </c>
      <c r="S13" s="81" t="s">
        <v>861</v>
      </c>
      <c r="T13" s="86" t="str">
        <f>HYPERLINK("http://www.youtube.com/channel/UCMjfNOw_F_QdVO_NcQ49hwA")</f>
        <v>http://www.youtube.com/channel/UCMjfNOw_F_QdVO_NcQ49hwA</v>
      </c>
      <c r="U13" s="81"/>
      <c r="V13" s="81" t="s">
        <v>1091</v>
      </c>
      <c r="W13" s="86" t="str">
        <f>HYPERLINK("https://www.youtube.com/watch?v=hTnnEnpQkkk")</f>
        <v>https://www.youtube.com/watch?v=hTnnEnpQkkk</v>
      </c>
      <c r="X13" s="81" t="s">
        <v>1183</v>
      </c>
      <c r="Y13" s="81">
        <v>0</v>
      </c>
      <c r="Z13" s="88">
        <v>43847.591944444444</v>
      </c>
      <c r="AA13" s="88">
        <v>43847.591944444444</v>
      </c>
      <c r="AB13" s="81"/>
      <c r="AC13" s="81"/>
      <c r="AD13" s="84" t="s">
        <v>1239</v>
      </c>
      <c r="AE13" s="82">
        <v>1</v>
      </c>
      <c r="AF13" s="83" t="str">
        <f>REPLACE(INDEX(GroupVertices[Group],MATCH(Edges[[#This Row],[Vertex 1]],GroupVertices[Vertex],0)),1,1,"")</f>
        <v>14</v>
      </c>
      <c r="AG13" s="83" t="str">
        <f>REPLACE(INDEX(GroupVertices[Group],MATCH(Edges[[#This Row],[Vertex 2]],GroupVertices[Vertex],0)),1,1,"")</f>
        <v>14</v>
      </c>
      <c r="AH13" s="111">
        <v>1</v>
      </c>
      <c r="AI13" s="112">
        <v>6.666666666666667</v>
      </c>
      <c r="AJ13" s="111">
        <v>0</v>
      </c>
      <c r="AK13" s="112">
        <v>0</v>
      </c>
      <c r="AL13" s="111">
        <v>0</v>
      </c>
      <c r="AM13" s="112">
        <v>0</v>
      </c>
      <c r="AN13" s="111">
        <v>14</v>
      </c>
      <c r="AO13" s="112">
        <v>93.33333333333333</v>
      </c>
      <c r="AP13" s="111">
        <v>15</v>
      </c>
    </row>
    <row r="14" spans="1:42" ht="15">
      <c r="A14" s="65" t="s">
        <v>349</v>
      </c>
      <c r="B14" s="65" t="s">
        <v>529</v>
      </c>
      <c r="C14" s="66" t="s">
        <v>2942</v>
      </c>
      <c r="D14" s="67">
        <v>3</v>
      </c>
      <c r="E14" s="68"/>
      <c r="F14" s="69">
        <v>40</v>
      </c>
      <c r="G14" s="66"/>
      <c r="H14" s="70"/>
      <c r="I14" s="71"/>
      <c r="J14" s="71"/>
      <c r="K14" s="35" t="s">
        <v>65</v>
      </c>
      <c r="L14" s="79">
        <v>14</v>
      </c>
      <c r="M14" s="79"/>
      <c r="N14" s="73"/>
      <c r="O14" s="81" t="s">
        <v>563</v>
      </c>
      <c r="P14" s="81" t="s">
        <v>325</v>
      </c>
      <c r="Q14" s="84" t="s">
        <v>577</v>
      </c>
      <c r="R14" s="81" t="s">
        <v>349</v>
      </c>
      <c r="S14" s="81" t="s">
        <v>862</v>
      </c>
      <c r="T14" s="86" t="str">
        <f>HYPERLINK("http://www.youtube.com/channel/UCcqj5COuFHh1eHF0xdBQoig")</f>
        <v>http://www.youtube.com/channel/UCcqj5COuFHh1eHF0xdBQoig</v>
      </c>
      <c r="U14" s="81"/>
      <c r="V14" s="81" t="s">
        <v>1092</v>
      </c>
      <c r="W14" s="86" t="str">
        <f>HYPERLINK("https://www.youtube.com/watch?v=5_mfdaFBRy4")</f>
        <v>https://www.youtube.com/watch?v=5_mfdaFBRy4</v>
      </c>
      <c r="X14" s="81" t="s">
        <v>1183</v>
      </c>
      <c r="Y14" s="81">
        <v>2</v>
      </c>
      <c r="Z14" s="88">
        <v>42137.48489583333</v>
      </c>
      <c r="AA14" s="88">
        <v>42137.48489583333</v>
      </c>
      <c r="AB14" s="81"/>
      <c r="AC14" s="81"/>
      <c r="AD14" s="84" t="s">
        <v>1239</v>
      </c>
      <c r="AE14" s="82">
        <v>1</v>
      </c>
      <c r="AF14" s="83" t="str">
        <f>REPLACE(INDEX(GroupVertices[Group],MATCH(Edges[[#This Row],[Vertex 1]],GroupVertices[Vertex],0)),1,1,"")</f>
        <v>24</v>
      </c>
      <c r="AG14" s="83" t="str">
        <f>REPLACE(INDEX(GroupVertices[Group],MATCH(Edges[[#This Row],[Vertex 2]],GroupVertices[Vertex],0)),1,1,"")</f>
        <v>24</v>
      </c>
      <c r="AH14" s="111">
        <v>1</v>
      </c>
      <c r="AI14" s="112">
        <v>16.666666666666668</v>
      </c>
      <c r="AJ14" s="111">
        <v>0</v>
      </c>
      <c r="AK14" s="112">
        <v>0</v>
      </c>
      <c r="AL14" s="111">
        <v>0</v>
      </c>
      <c r="AM14" s="112">
        <v>0</v>
      </c>
      <c r="AN14" s="111">
        <v>5</v>
      </c>
      <c r="AO14" s="112">
        <v>83.33333333333333</v>
      </c>
      <c r="AP14" s="111">
        <v>6</v>
      </c>
    </row>
    <row r="15" spans="1:42" ht="15">
      <c r="A15" s="65" t="s">
        <v>350</v>
      </c>
      <c r="B15" s="65" t="s">
        <v>531</v>
      </c>
      <c r="C15" s="66" t="s">
        <v>2942</v>
      </c>
      <c r="D15" s="67">
        <v>3</v>
      </c>
      <c r="E15" s="68"/>
      <c r="F15" s="69">
        <v>40</v>
      </c>
      <c r="G15" s="66"/>
      <c r="H15" s="70"/>
      <c r="I15" s="71"/>
      <c r="J15" s="71"/>
      <c r="K15" s="35" t="s">
        <v>65</v>
      </c>
      <c r="L15" s="79">
        <v>15</v>
      </c>
      <c r="M15" s="79"/>
      <c r="N15" s="73"/>
      <c r="O15" s="81" t="s">
        <v>563</v>
      </c>
      <c r="P15" s="81" t="s">
        <v>325</v>
      </c>
      <c r="Q15" s="84" t="s">
        <v>578</v>
      </c>
      <c r="R15" s="81" t="s">
        <v>350</v>
      </c>
      <c r="S15" s="81" t="s">
        <v>863</v>
      </c>
      <c r="T15" s="86" t="str">
        <f>HYPERLINK("http://www.youtube.com/channel/UCXpbkjiFlXTpSy3DnioAJjw")</f>
        <v>http://www.youtube.com/channel/UCXpbkjiFlXTpSy3DnioAJjw</v>
      </c>
      <c r="U15" s="81"/>
      <c r="V15" s="81" t="s">
        <v>1093</v>
      </c>
      <c r="W15" s="86" t="str">
        <f>HYPERLINK("https://www.youtube.com/watch?v=0M3T65Iw3Ac")</f>
        <v>https://www.youtube.com/watch?v=0M3T65Iw3Ac</v>
      </c>
      <c r="X15" s="81" t="s">
        <v>1183</v>
      </c>
      <c r="Y15" s="81">
        <v>0</v>
      </c>
      <c r="Z15" s="88">
        <v>40969.76320601852</v>
      </c>
      <c r="AA15" s="88">
        <v>40969.76320601852</v>
      </c>
      <c r="AB15" s="81"/>
      <c r="AC15" s="81"/>
      <c r="AD15" s="84" t="s">
        <v>1239</v>
      </c>
      <c r="AE15" s="82">
        <v>1</v>
      </c>
      <c r="AF15" s="83" t="str">
        <f>REPLACE(INDEX(GroupVertices[Group],MATCH(Edges[[#This Row],[Vertex 1]],GroupVertices[Vertex],0)),1,1,"")</f>
        <v>23</v>
      </c>
      <c r="AG15" s="83" t="str">
        <f>REPLACE(INDEX(GroupVertices[Group],MATCH(Edges[[#This Row],[Vertex 2]],GroupVertices[Vertex],0)),1,1,"")</f>
        <v>23</v>
      </c>
      <c r="AH15" s="111">
        <v>2</v>
      </c>
      <c r="AI15" s="112">
        <v>15.384615384615385</v>
      </c>
      <c r="AJ15" s="111">
        <v>0</v>
      </c>
      <c r="AK15" s="112">
        <v>0</v>
      </c>
      <c r="AL15" s="111">
        <v>0</v>
      </c>
      <c r="AM15" s="112">
        <v>0</v>
      </c>
      <c r="AN15" s="111">
        <v>11</v>
      </c>
      <c r="AO15" s="112">
        <v>84.61538461538461</v>
      </c>
      <c r="AP15" s="111">
        <v>13</v>
      </c>
    </row>
    <row r="16" spans="1:42" ht="15">
      <c r="A16" s="65" t="s">
        <v>351</v>
      </c>
      <c r="B16" s="65" t="s">
        <v>352</v>
      </c>
      <c r="C16" s="66" t="s">
        <v>2942</v>
      </c>
      <c r="D16" s="67">
        <v>3</v>
      </c>
      <c r="E16" s="68"/>
      <c r="F16" s="69">
        <v>40</v>
      </c>
      <c r="G16" s="66"/>
      <c r="H16" s="70"/>
      <c r="I16" s="71"/>
      <c r="J16" s="71"/>
      <c r="K16" s="35" t="s">
        <v>66</v>
      </c>
      <c r="L16" s="79">
        <v>16</v>
      </c>
      <c r="M16" s="79"/>
      <c r="N16" s="73"/>
      <c r="O16" s="81" t="s">
        <v>564</v>
      </c>
      <c r="P16" s="81" t="s">
        <v>566</v>
      </c>
      <c r="Q16" s="84" t="s">
        <v>579</v>
      </c>
      <c r="R16" s="81" t="s">
        <v>351</v>
      </c>
      <c r="S16" s="81" t="s">
        <v>864</v>
      </c>
      <c r="T16" s="86" t="str">
        <f>HYPERLINK("http://www.youtube.com/channel/UCT2t7sQp0Qyi9dxuckjOWAw")</f>
        <v>http://www.youtube.com/channel/UCT2t7sQp0Qyi9dxuckjOWAw</v>
      </c>
      <c r="U16" s="81" t="s">
        <v>1036</v>
      </c>
      <c r="V16" s="81" t="s">
        <v>1094</v>
      </c>
      <c r="W16" s="86" t="str">
        <f>HYPERLINK("https://www.youtube.com/watch?v=3s6qbWY07FI")</f>
        <v>https://www.youtube.com/watch?v=3s6qbWY07FI</v>
      </c>
      <c r="X16" s="81" t="s">
        <v>1183</v>
      </c>
      <c r="Y16" s="81">
        <v>0</v>
      </c>
      <c r="Z16" s="88">
        <v>43985.59532407407</v>
      </c>
      <c r="AA16" s="88">
        <v>43985.59532407407</v>
      </c>
      <c r="AB16" s="81" t="s">
        <v>1184</v>
      </c>
      <c r="AC16" s="81" t="s">
        <v>1218</v>
      </c>
      <c r="AD16" s="84" t="s">
        <v>1239</v>
      </c>
      <c r="AE16" s="82">
        <v>1</v>
      </c>
      <c r="AF16" s="83" t="str">
        <f>REPLACE(INDEX(GroupVertices[Group],MATCH(Edges[[#This Row],[Vertex 1]],GroupVertices[Vertex],0)),1,1,"")</f>
        <v>4</v>
      </c>
      <c r="AG16" s="83" t="str">
        <f>REPLACE(INDEX(GroupVertices[Group],MATCH(Edges[[#This Row],[Vertex 2]],GroupVertices[Vertex],0)),1,1,"")</f>
        <v>4</v>
      </c>
      <c r="AH16" s="111">
        <v>0</v>
      </c>
      <c r="AI16" s="112">
        <v>0</v>
      </c>
      <c r="AJ16" s="111">
        <v>0</v>
      </c>
      <c r="AK16" s="112">
        <v>0</v>
      </c>
      <c r="AL16" s="111">
        <v>0</v>
      </c>
      <c r="AM16" s="112">
        <v>0</v>
      </c>
      <c r="AN16" s="111">
        <v>45</v>
      </c>
      <c r="AO16" s="112">
        <v>100</v>
      </c>
      <c r="AP16" s="111">
        <v>45</v>
      </c>
    </row>
    <row r="17" spans="1:42" ht="15">
      <c r="A17" s="65" t="s">
        <v>352</v>
      </c>
      <c r="B17" s="65" t="s">
        <v>351</v>
      </c>
      <c r="C17" s="66" t="s">
        <v>2942</v>
      </c>
      <c r="D17" s="67">
        <v>3</v>
      </c>
      <c r="E17" s="68"/>
      <c r="F17" s="69">
        <v>40</v>
      </c>
      <c r="G17" s="66"/>
      <c r="H17" s="70"/>
      <c r="I17" s="71"/>
      <c r="J17" s="71"/>
      <c r="K17" s="35" t="s">
        <v>66</v>
      </c>
      <c r="L17" s="79">
        <v>17</v>
      </c>
      <c r="M17" s="79"/>
      <c r="N17" s="73"/>
      <c r="O17" s="81" t="s">
        <v>563</v>
      </c>
      <c r="P17" s="81" t="s">
        <v>325</v>
      </c>
      <c r="Q17" s="84" t="s">
        <v>580</v>
      </c>
      <c r="R17" s="81" t="s">
        <v>352</v>
      </c>
      <c r="S17" s="81" t="s">
        <v>865</v>
      </c>
      <c r="T17" s="86" t="str">
        <f>HYPERLINK("http://www.youtube.com/channel/UCUGm4MAV0xRkCWAIe34oHEA")</f>
        <v>http://www.youtube.com/channel/UCUGm4MAV0xRkCWAIe34oHEA</v>
      </c>
      <c r="U17" s="81"/>
      <c r="V17" s="81" t="s">
        <v>1094</v>
      </c>
      <c r="W17" s="86" t="str">
        <f>HYPERLINK("https://www.youtube.com/watch?v=3s6qbWY07FI")</f>
        <v>https://www.youtube.com/watch?v=3s6qbWY07FI</v>
      </c>
      <c r="X17" s="81" t="s">
        <v>1183</v>
      </c>
      <c r="Y17" s="81">
        <v>2</v>
      </c>
      <c r="Z17" s="88">
        <v>43971.58761574074</v>
      </c>
      <c r="AA17" s="88">
        <v>43971.58761574074</v>
      </c>
      <c r="AB17" s="81"/>
      <c r="AC17" s="81"/>
      <c r="AD17" s="84" t="s">
        <v>1239</v>
      </c>
      <c r="AE17" s="82">
        <v>1</v>
      </c>
      <c r="AF17" s="83" t="str">
        <f>REPLACE(INDEX(GroupVertices[Group],MATCH(Edges[[#This Row],[Vertex 1]],GroupVertices[Vertex],0)),1,1,"")</f>
        <v>4</v>
      </c>
      <c r="AG17" s="83" t="str">
        <f>REPLACE(INDEX(GroupVertices[Group],MATCH(Edges[[#This Row],[Vertex 2]],GroupVertices[Vertex],0)),1,1,"")</f>
        <v>4</v>
      </c>
      <c r="AH17" s="111">
        <v>0</v>
      </c>
      <c r="AI17" s="112">
        <v>0</v>
      </c>
      <c r="AJ17" s="111">
        <v>0</v>
      </c>
      <c r="AK17" s="112">
        <v>0</v>
      </c>
      <c r="AL17" s="111">
        <v>0</v>
      </c>
      <c r="AM17" s="112">
        <v>0</v>
      </c>
      <c r="AN17" s="111">
        <v>10</v>
      </c>
      <c r="AO17" s="112">
        <v>100</v>
      </c>
      <c r="AP17" s="111">
        <v>10</v>
      </c>
    </row>
    <row r="18" spans="1:42" ht="15">
      <c r="A18" s="65" t="s">
        <v>353</v>
      </c>
      <c r="B18" s="65" t="s">
        <v>354</v>
      </c>
      <c r="C18" s="66" t="s">
        <v>2942</v>
      </c>
      <c r="D18" s="67">
        <v>3</v>
      </c>
      <c r="E18" s="68"/>
      <c r="F18" s="69">
        <v>40</v>
      </c>
      <c r="G18" s="66"/>
      <c r="H18" s="70"/>
      <c r="I18" s="71"/>
      <c r="J18" s="71"/>
      <c r="K18" s="35" t="s">
        <v>66</v>
      </c>
      <c r="L18" s="79">
        <v>18</v>
      </c>
      <c r="M18" s="79"/>
      <c r="N18" s="73"/>
      <c r="O18" s="81" t="s">
        <v>564</v>
      </c>
      <c r="P18" s="81" t="s">
        <v>566</v>
      </c>
      <c r="Q18" s="84" t="s">
        <v>581</v>
      </c>
      <c r="R18" s="81" t="s">
        <v>353</v>
      </c>
      <c r="S18" s="81" t="s">
        <v>866</v>
      </c>
      <c r="T18" s="86" t="str">
        <f>HYPERLINK("http://www.youtube.com/channel/UCfYrvWfah8SKHvX-fQ_oLWQ")</f>
        <v>http://www.youtube.com/channel/UCfYrvWfah8SKHvX-fQ_oLWQ</v>
      </c>
      <c r="U18" s="81" t="s">
        <v>1037</v>
      </c>
      <c r="V18" s="81" t="s">
        <v>1095</v>
      </c>
      <c r="W18" s="86" t="str">
        <f>HYPERLINK("https://www.youtube.com/watch?v=o-D-Duv8Mcs")</f>
        <v>https://www.youtube.com/watch?v=o-D-Duv8Mcs</v>
      </c>
      <c r="X18" s="81" t="s">
        <v>1183</v>
      </c>
      <c r="Y18" s="81">
        <v>1</v>
      </c>
      <c r="Z18" s="88">
        <v>43923.84836805556</v>
      </c>
      <c r="AA18" s="88">
        <v>43923.84836805556</v>
      </c>
      <c r="AB18" s="81" t="s">
        <v>1185</v>
      </c>
      <c r="AC18" s="81" t="s">
        <v>1219</v>
      </c>
      <c r="AD18" s="84" t="s">
        <v>1239</v>
      </c>
      <c r="AE18" s="82">
        <v>1</v>
      </c>
      <c r="AF18" s="83" t="str">
        <f>REPLACE(INDEX(GroupVertices[Group],MATCH(Edges[[#This Row],[Vertex 1]],GroupVertices[Vertex],0)),1,1,"")</f>
        <v>17</v>
      </c>
      <c r="AG18" s="83" t="str">
        <f>REPLACE(INDEX(GroupVertices[Group],MATCH(Edges[[#This Row],[Vertex 2]],GroupVertices[Vertex],0)),1,1,"")</f>
        <v>17</v>
      </c>
      <c r="AH18" s="111">
        <v>2</v>
      </c>
      <c r="AI18" s="112">
        <v>5.128205128205129</v>
      </c>
      <c r="AJ18" s="111">
        <v>0</v>
      </c>
      <c r="AK18" s="112">
        <v>0</v>
      </c>
      <c r="AL18" s="111">
        <v>0</v>
      </c>
      <c r="AM18" s="112">
        <v>0</v>
      </c>
      <c r="AN18" s="111">
        <v>37</v>
      </c>
      <c r="AO18" s="112">
        <v>94.87179487179488</v>
      </c>
      <c r="AP18" s="111">
        <v>39</v>
      </c>
    </row>
    <row r="19" spans="1:42" ht="15">
      <c r="A19" s="65" t="s">
        <v>354</v>
      </c>
      <c r="B19" s="65" t="s">
        <v>353</v>
      </c>
      <c r="C19" s="66" t="s">
        <v>2942</v>
      </c>
      <c r="D19" s="67">
        <v>3</v>
      </c>
      <c r="E19" s="68"/>
      <c r="F19" s="69">
        <v>40</v>
      </c>
      <c r="G19" s="66"/>
      <c r="H19" s="70"/>
      <c r="I19" s="71"/>
      <c r="J19" s="71"/>
      <c r="K19" s="35" t="s">
        <v>66</v>
      </c>
      <c r="L19" s="79">
        <v>19</v>
      </c>
      <c r="M19" s="79"/>
      <c r="N19" s="73"/>
      <c r="O19" s="81" t="s">
        <v>563</v>
      </c>
      <c r="P19" s="81" t="s">
        <v>325</v>
      </c>
      <c r="Q19" s="84" t="s">
        <v>582</v>
      </c>
      <c r="R19" s="81" t="s">
        <v>354</v>
      </c>
      <c r="S19" s="81" t="s">
        <v>867</v>
      </c>
      <c r="T19" s="86" t="str">
        <f>HYPERLINK("http://www.youtube.com/channel/UC2b3yDPx5ALGuEJSAs_E7kw")</f>
        <v>http://www.youtube.com/channel/UC2b3yDPx5ALGuEJSAs_E7kw</v>
      </c>
      <c r="U19" s="81"/>
      <c r="V19" s="81" t="s">
        <v>1095</v>
      </c>
      <c r="W19" s="86" t="str">
        <f>HYPERLINK("https://www.youtube.com/watch?v=o-D-Duv8Mcs")</f>
        <v>https://www.youtube.com/watch?v=o-D-Duv8Mcs</v>
      </c>
      <c r="X19" s="81" t="s">
        <v>1183</v>
      </c>
      <c r="Y19" s="81">
        <v>1</v>
      </c>
      <c r="Z19" s="88">
        <v>43923.82962962963</v>
      </c>
      <c r="AA19" s="88">
        <v>43923.82962962963</v>
      </c>
      <c r="AB19" s="81"/>
      <c r="AC19" s="81"/>
      <c r="AD19" s="84" t="s">
        <v>1239</v>
      </c>
      <c r="AE19" s="82">
        <v>1</v>
      </c>
      <c r="AF19" s="83" t="str">
        <f>REPLACE(INDEX(GroupVertices[Group],MATCH(Edges[[#This Row],[Vertex 1]],GroupVertices[Vertex],0)),1,1,"")</f>
        <v>17</v>
      </c>
      <c r="AG19" s="83" t="str">
        <f>REPLACE(INDEX(GroupVertices[Group],MATCH(Edges[[#This Row],[Vertex 2]],GroupVertices[Vertex],0)),1,1,"")</f>
        <v>17</v>
      </c>
      <c r="AH19" s="111">
        <v>1</v>
      </c>
      <c r="AI19" s="112">
        <v>16.666666666666668</v>
      </c>
      <c r="AJ19" s="111">
        <v>0</v>
      </c>
      <c r="AK19" s="112">
        <v>0</v>
      </c>
      <c r="AL19" s="111">
        <v>0</v>
      </c>
      <c r="AM19" s="112">
        <v>0</v>
      </c>
      <c r="AN19" s="111">
        <v>5</v>
      </c>
      <c r="AO19" s="112">
        <v>83.33333333333333</v>
      </c>
      <c r="AP19" s="111">
        <v>6</v>
      </c>
    </row>
    <row r="20" spans="1:42" ht="15">
      <c r="A20" s="65" t="s">
        <v>353</v>
      </c>
      <c r="B20" s="65" t="s">
        <v>355</v>
      </c>
      <c r="C20" s="66" t="s">
        <v>2942</v>
      </c>
      <c r="D20" s="67">
        <v>3</v>
      </c>
      <c r="E20" s="68"/>
      <c r="F20" s="69">
        <v>40</v>
      </c>
      <c r="G20" s="66"/>
      <c r="H20" s="70"/>
      <c r="I20" s="71"/>
      <c r="J20" s="71"/>
      <c r="K20" s="35" t="s">
        <v>66</v>
      </c>
      <c r="L20" s="79">
        <v>20</v>
      </c>
      <c r="M20" s="79"/>
      <c r="N20" s="73"/>
      <c r="O20" s="81" t="s">
        <v>564</v>
      </c>
      <c r="P20" s="81" t="s">
        <v>566</v>
      </c>
      <c r="Q20" s="84" t="s">
        <v>583</v>
      </c>
      <c r="R20" s="81" t="s">
        <v>353</v>
      </c>
      <c r="S20" s="81" t="s">
        <v>866</v>
      </c>
      <c r="T20" s="86" t="str">
        <f>HYPERLINK("http://www.youtube.com/channel/UCfYrvWfah8SKHvX-fQ_oLWQ")</f>
        <v>http://www.youtube.com/channel/UCfYrvWfah8SKHvX-fQ_oLWQ</v>
      </c>
      <c r="U20" s="81" t="s">
        <v>1038</v>
      </c>
      <c r="V20" s="81" t="s">
        <v>1095</v>
      </c>
      <c r="W20" s="86" t="str">
        <f>HYPERLINK("https://www.youtube.com/watch?v=o-D-Duv8Mcs")</f>
        <v>https://www.youtube.com/watch?v=o-D-Duv8Mcs</v>
      </c>
      <c r="X20" s="81" t="s">
        <v>1183</v>
      </c>
      <c r="Y20" s="81">
        <v>2</v>
      </c>
      <c r="Z20" s="88">
        <v>43924.67320601852</v>
      </c>
      <c r="AA20" s="88">
        <v>43924.67320601852</v>
      </c>
      <c r="AB20" s="81" t="s">
        <v>1186</v>
      </c>
      <c r="AC20" s="81" t="s">
        <v>1220</v>
      </c>
      <c r="AD20" s="84" t="s">
        <v>1239</v>
      </c>
      <c r="AE20" s="82">
        <v>1</v>
      </c>
      <c r="AF20" s="83" t="str">
        <f>REPLACE(INDEX(GroupVertices[Group],MATCH(Edges[[#This Row],[Vertex 1]],GroupVertices[Vertex],0)),1,1,"")</f>
        <v>17</v>
      </c>
      <c r="AG20" s="83" t="str">
        <f>REPLACE(INDEX(GroupVertices[Group],MATCH(Edges[[#This Row],[Vertex 2]],GroupVertices[Vertex],0)),1,1,"")</f>
        <v>17</v>
      </c>
      <c r="AH20" s="111">
        <v>1</v>
      </c>
      <c r="AI20" s="112">
        <v>0.3508771929824561</v>
      </c>
      <c r="AJ20" s="111">
        <v>1</v>
      </c>
      <c r="AK20" s="112">
        <v>0.3508771929824561</v>
      </c>
      <c r="AL20" s="111">
        <v>0</v>
      </c>
      <c r="AM20" s="112">
        <v>0</v>
      </c>
      <c r="AN20" s="111">
        <v>283</v>
      </c>
      <c r="AO20" s="112">
        <v>99.29824561403508</v>
      </c>
      <c r="AP20" s="111">
        <v>285</v>
      </c>
    </row>
    <row r="21" spans="1:42" ht="15">
      <c r="A21" s="65" t="s">
        <v>355</v>
      </c>
      <c r="B21" s="65" t="s">
        <v>353</v>
      </c>
      <c r="C21" s="66" t="s">
        <v>2942</v>
      </c>
      <c r="D21" s="67">
        <v>3</v>
      </c>
      <c r="E21" s="68"/>
      <c r="F21" s="69">
        <v>40</v>
      </c>
      <c r="G21" s="66"/>
      <c r="H21" s="70"/>
      <c r="I21" s="71"/>
      <c r="J21" s="71"/>
      <c r="K21" s="35" t="s">
        <v>66</v>
      </c>
      <c r="L21" s="79">
        <v>21</v>
      </c>
      <c r="M21" s="79"/>
      <c r="N21" s="73"/>
      <c r="O21" s="81" t="s">
        <v>563</v>
      </c>
      <c r="P21" s="81" t="s">
        <v>325</v>
      </c>
      <c r="Q21" s="84" t="s">
        <v>584</v>
      </c>
      <c r="R21" s="81" t="s">
        <v>355</v>
      </c>
      <c r="S21" s="81" t="s">
        <v>868</v>
      </c>
      <c r="T21" s="86" t="str">
        <f>HYPERLINK("http://www.youtube.com/channel/UCeiKh2VbzXlQeESwZzg7xxQ")</f>
        <v>http://www.youtube.com/channel/UCeiKh2VbzXlQeESwZzg7xxQ</v>
      </c>
      <c r="U21" s="81"/>
      <c r="V21" s="81" t="s">
        <v>1095</v>
      </c>
      <c r="W21" s="86" t="str">
        <f>HYPERLINK("https://www.youtube.com/watch?v=o-D-Duv8Mcs")</f>
        <v>https://www.youtube.com/watch?v=o-D-Duv8Mcs</v>
      </c>
      <c r="X21" s="81" t="s">
        <v>1183</v>
      </c>
      <c r="Y21" s="81">
        <v>0</v>
      </c>
      <c r="Z21" s="88">
        <v>43924.658425925925</v>
      </c>
      <c r="AA21" s="88">
        <v>43924.658425925925</v>
      </c>
      <c r="AB21" s="81"/>
      <c r="AC21" s="81"/>
      <c r="AD21" s="84" t="s">
        <v>1239</v>
      </c>
      <c r="AE21" s="82">
        <v>1</v>
      </c>
      <c r="AF21" s="83" t="str">
        <f>REPLACE(INDEX(GroupVertices[Group],MATCH(Edges[[#This Row],[Vertex 1]],GroupVertices[Vertex],0)),1,1,"")</f>
        <v>17</v>
      </c>
      <c r="AG21" s="83" t="str">
        <f>REPLACE(INDEX(GroupVertices[Group],MATCH(Edges[[#This Row],[Vertex 2]],GroupVertices[Vertex],0)),1,1,"")</f>
        <v>17</v>
      </c>
      <c r="AH21" s="111">
        <v>0</v>
      </c>
      <c r="AI21" s="112">
        <v>0</v>
      </c>
      <c r="AJ21" s="111">
        <v>0</v>
      </c>
      <c r="AK21" s="112">
        <v>0</v>
      </c>
      <c r="AL21" s="111">
        <v>0</v>
      </c>
      <c r="AM21" s="112">
        <v>0</v>
      </c>
      <c r="AN21" s="111">
        <v>13</v>
      </c>
      <c r="AO21" s="112">
        <v>100</v>
      </c>
      <c r="AP21" s="111">
        <v>13</v>
      </c>
    </row>
    <row r="22" spans="1:42" ht="15">
      <c r="A22" s="65" t="s">
        <v>356</v>
      </c>
      <c r="B22" s="65" t="s">
        <v>358</v>
      </c>
      <c r="C22" s="66" t="s">
        <v>2942</v>
      </c>
      <c r="D22" s="67">
        <v>3</v>
      </c>
      <c r="E22" s="68"/>
      <c r="F22" s="69">
        <v>40</v>
      </c>
      <c r="G22" s="66"/>
      <c r="H22" s="70"/>
      <c r="I22" s="71"/>
      <c r="J22" s="71"/>
      <c r="K22" s="35" t="s">
        <v>65</v>
      </c>
      <c r="L22" s="79">
        <v>22</v>
      </c>
      <c r="M22" s="79"/>
      <c r="N22" s="73"/>
      <c r="O22" s="81" t="s">
        <v>563</v>
      </c>
      <c r="P22" s="81" t="s">
        <v>325</v>
      </c>
      <c r="Q22" s="84" t="s">
        <v>585</v>
      </c>
      <c r="R22" s="81" t="s">
        <v>356</v>
      </c>
      <c r="S22" s="81" t="s">
        <v>869</v>
      </c>
      <c r="T22" s="86" t="str">
        <f>HYPERLINK("http://www.youtube.com/channel/UCOySjL4JhGjAvIU2BeWaZMA")</f>
        <v>http://www.youtube.com/channel/UCOySjL4JhGjAvIU2BeWaZMA</v>
      </c>
      <c r="U22" s="81"/>
      <c r="V22" s="81" t="s">
        <v>1096</v>
      </c>
      <c r="W22" s="86" t="str">
        <f>HYPERLINK("https://www.youtube.com/watch?v=39yXz72qdow")</f>
        <v>https://www.youtube.com/watch?v=39yXz72qdow</v>
      </c>
      <c r="X22" s="81" t="s">
        <v>1183</v>
      </c>
      <c r="Y22" s="81">
        <v>0</v>
      </c>
      <c r="Z22" s="88">
        <v>41071.16103009259</v>
      </c>
      <c r="AA22" s="88">
        <v>41071.16103009259</v>
      </c>
      <c r="AB22" s="81"/>
      <c r="AC22" s="81"/>
      <c r="AD22" s="84" t="s">
        <v>1239</v>
      </c>
      <c r="AE22" s="82">
        <v>1</v>
      </c>
      <c r="AF22" s="83" t="str">
        <f>REPLACE(INDEX(GroupVertices[Group],MATCH(Edges[[#This Row],[Vertex 1]],GroupVertices[Vertex],0)),1,1,"")</f>
        <v>9</v>
      </c>
      <c r="AG22" s="83" t="str">
        <f>REPLACE(INDEX(GroupVertices[Group],MATCH(Edges[[#This Row],[Vertex 2]],GroupVertices[Vertex],0)),1,1,"")</f>
        <v>9</v>
      </c>
      <c r="AH22" s="111">
        <v>1</v>
      </c>
      <c r="AI22" s="112">
        <v>100</v>
      </c>
      <c r="AJ22" s="111">
        <v>0</v>
      </c>
      <c r="AK22" s="112">
        <v>0</v>
      </c>
      <c r="AL22" s="111">
        <v>0</v>
      </c>
      <c r="AM22" s="112">
        <v>0</v>
      </c>
      <c r="AN22" s="111">
        <v>0</v>
      </c>
      <c r="AO22" s="112">
        <v>0</v>
      </c>
      <c r="AP22" s="111">
        <v>1</v>
      </c>
    </row>
    <row r="23" spans="1:42" ht="15">
      <c r="A23" s="65" t="s">
        <v>357</v>
      </c>
      <c r="B23" s="65" t="s">
        <v>358</v>
      </c>
      <c r="C23" s="66" t="s">
        <v>2942</v>
      </c>
      <c r="D23" s="67">
        <v>3</v>
      </c>
      <c r="E23" s="68"/>
      <c r="F23" s="69">
        <v>40</v>
      </c>
      <c r="G23" s="66"/>
      <c r="H23" s="70"/>
      <c r="I23" s="71"/>
      <c r="J23" s="71"/>
      <c r="K23" s="35" t="s">
        <v>65</v>
      </c>
      <c r="L23" s="79">
        <v>23</v>
      </c>
      <c r="M23" s="79"/>
      <c r="N23" s="73"/>
      <c r="O23" s="81" t="s">
        <v>563</v>
      </c>
      <c r="P23" s="81" t="s">
        <v>325</v>
      </c>
      <c r="Q23" s="84" t="s">
        <v>586</v>
      </c>
      <c r="R23" s="81" t="s">
        <v>357</v>
      </c>
      <c r="S23" s="81" t="s">
        <v>870</v>
      </c>
      <c r="T23" s="86" t="str">
        <f>HYPERLINK("http://www.youtube.com/channel/UCkkgApUQlDrsLaod5io227g")</f>
        <v>http://www.youtube.com/channel/UCkkgApUQlDrsLaod5io227g</v>
      </c>
      <c r="U23" s="81"/>
      <c r="V23" s="81" t="s">
        <v>1096</v>
      </c>
      <c r="W23" s="86" t="str">
        <f>HYPERLINK("https://www.youtube.com/watch?v=39yXz72qdow")</f>
        <v>https://www.youtube.com/watch?v=39yXz72qdow</v>
      </c>
      <c r="X23" s="81" t="s">
        <v>1183</v>
      </c>
      <c r="Y23" s="81">
        <v>0</v>
      </c>
      <c r="Z23" s="88">
        <v>41613.32177083333</v>
      </c>
      <c r="AA23" s="88">
        <v>41613.32177083333</v>
      </c>
      <c r="AB23" s="81"/>
      <c r="AC23" s="81"/>
      <c r="AD23" s="84" t="s">
        <v>1239</v>
      </c>
      <c r="AE23" s="82">
        <v>1</v>
      </c>
      <c r="AF23" s="83" t="str">
        <f>REPLACE(INDEX(GroupVertices[Group],MATCH(Edges[[#This Row],[Vertex 1]],GroupVertices[Vertex],0)),1,1,"")</f>
        <v>9</v>
      </c>
      <c r="AG23" s="83" t="str">
        <f>REPLACE(INDEX(GroupVertices[Group],MATCH(Edges[[#This Row],[Vertex 2]],GroupVertices[Vertex],0)),1,1,"")</f>
        <v>9</v>
      </c>
      <c r="AH23" s="111">
        <v>0</v>
      </c>
      <c r="AI23" s="112">
        <v>0</v>
      </c>
      <c r="AJ23" s="111">
        <v>0</v>
      </c>
      <c r="AK23" s="112">
        <v>0</v>
      </c>
      <c r="AL23" s="111">
        <v>0</v>
      </c>
      <c r="AM23" s="112">
        <v>0</v>
      </c>
      <c r="AN23" s="111">
        <v>19</v>
      </c>
      <c r="AO23" s="112">
        <v>100</v>
      </c>
      <c r="AP23" s="111">
        <v>19</v>
      </c>
    </row>
    <row r="24" spans="1:42" ht="15">
      <c r="A24" s="65" t="s">
        <v>358</v>
      </c>
      <c r="B24" s="65" t="s">
        <v>359</v>
      </c>
      <c r="C24" s="66" t="s">
        <v>2942</v>
      </c>
      <c r="D24" s="67">
        <v>3</v>
      </c>
      <c r="E24" s="68"/>
      <c r="F24" s="69">
        <v>40</v>
      </c>
      <c r="G24" s="66"/>
      <c r="H24" s="70"/>
      <c r="I24" s="71"/>
      <c r="J24" s="71"/>
      <c r="K24" s="35" t="s">
        <v>66</v>
      </c>
      <c r="L24" s="79">
        <v>24</v>
      </c>
      <c r="M24" s="79"/>
      <c r="N24" s="73"/>
      <c r="O24" s="81" t="s">
        <v>564</v>
      </c>
      <c r="P24" s="81" t="s">
        <v>566</v>
      </c>
      <c r="Q24" s="84" t="s">
        <v>587</v>
      </c>
      <c r="R24" s="81" t="s">
        <v>358</v>
      </c>
      <c r="S24" s="81" t="s">
        <v>871</v>
      </c>
      <c r="T24" s="86" t="str">
        <f>HYPERLINK("http://www.youtube.com/channel/UCo4986VKClJt42gAAOHqWtQ")</f>
        <v>http://www.youtube.com/channel/UCo4986VKClJt42gAAOHqWtQ</v>
      </c>
      <c r="U24" s="81" t="s">
        <v>1039</v>
      </c>
      <c r="V24" s="81" t="s">
        <v>1096</v>
      </c>
      <c r="W24" s="86" t="str">
        <f>HYPERLINK("https://www.youtube.com/watch?v=39yXz72qdow")</f>
        <v>https://www.youtube.com/watch?v=39yXz72qdow</v>
      </c>
      <c r="X24" s="81" t="s">
        <v>1183</v>
      </c>
      <c r="Y24" s="81">
        <v>0</v>
      </c>
      <c r="Z24" s="88">
        <v>42054.711331018516</v>
      </c>
      <c r="AA24" s="88">
        <v>42054.711331018516</v>
      </c>
      <c r="AB24" s="81"/>
      <c r="AC24" s="81"/>
      <c r="AD24" s="84" t="s">
        <v>1239</v>
      </c>
      <c r="AE24" s="82">
        <v>1</v>
      </c>
      <c r="AF24" s="83" t="str">
        <f>REPLACE(INDEX(GroupVertices[Group],MATCH(Edges[[#This Row],[Vertex 1]],GroupVertices[Vertex],0)),1,1,"")</f>
        <v>9</v>
      </c>
      <c r="AG24" s="83" t="str">
        <f>REPLACE(INDEX(GroupVertices[Group],MATCH(Edges[[#This Row],[Vertex 2]],GroupVertices[Vertex],0)),1,1,"")</f>
        <v>9</v>
      </c>
      <c r="AH24" s="111">
        <v>1</v>
      </c>
      <c r="AI24" s="112">
        <v>2.7777777777777777</v>
      </c>
      <c r="AJ24" s="111">
        <v>0</v>
      </c>
      <c r="AK24" s="112">
        <v>0</v>
      </c>
      <c r="AL24" s="111">
        <v>0</v>
      </c>
      <c r="AM24" s="112">
        <v>0</v>
      </c>
      <c r="AN24" s="111">
        <v>35</v>
      </c>
      <c r="AO24" s="112">
        <v>97.22222222222223</v>
      </c>
      <c r="AP24" s="111">
        <v>36</v>
      </c>
    </row>
    <row r="25" spans="1:42" ht="15">
      <c r="A25" s="65" t="s">
        <v>359</v>
      </c>
      <c r="B25" s="65" t="s">
        <v>358</v>
      </c>
      <c r="C25" s="66" t="s">
        <v>2942</v>
      </c>
      <c r="D25" s="67">
        <v>3</v>
      </c>
      <c r="E25" s="68"/>
      <c r="F25" s="69">
        <v>40</v>
      </c>
      <c r="G25" s="66"/>
      <c r="H25" s="70"/>
      <c r="I25" s="71"/>
      <c r="J25" s="71"/>
      <c r="K25" s="35" t="s">
        <v>66</v>
      </c>
      <c r="L25" s="79">
        <v>25</v>
      </c>
      <c r="M25" s="79"/>
      <c r="N25" s="73"/>
      <c r="O25" s="81" t="s">
        <v>563</v>
      </c>
      <c r="P25" s="81" t="s">
        <v>325</v>
      </c>
      <c r="Q25" s="84" t="s">
        <v>588</v>
      </c>
      <c r="R25" s="81" t="s">
        <v>359</v>
      </c>
      <c r="S25" s="81" t="s">
        <v>872</v>
      </c>
      <c r="T25" s="86" t="str">
        <f>HYPERLINK("http://www.youtube.com/channel/UC-jjpnxCagdT_bv8huLBmrA")</f>
        <v>http://www.youtube.com/channel/UC-jjpnxCagdT_bv8huLBmrA</v>
      </c>
      <c r="U25" s="81"/>
      <c r="V25" s="81" t="s">
        <v>1096</v>
      </c>
      <c r="W25" s="86" t="str">
        <f>HYPERLINK("https://www.youtube.com/watch?v=39yXz72qdow")</f>
        <v>https://www.youtube.com/watch?v=39yXz72qdow</v>
      </c>
      <c r="X25" s="81" t="s">
        <v>1183</v>
      </c>
      <c r="Y25" s="81">
        <v>0</v>
      </c>
      <c r="Z25" s="88">
        <v>42042.409525462965</v>
      </c>
      <c r="AA25" s="88">
        <v>42042.409525462965</v>
      </c>
      <c r="AB25" s="81"/>
      <c r="AC25" s="81"/>
      <c r="AD25" s="84" t="s">
        <v>1239</v>
      </c>
      <c r="AE25" s="82">
        <v>1</v>
      </c>
      <c r="AF25" s="83" t="str">
        <f>REPLACE(INDEX(GroupVertices[Group],MATCH(Edges[[#This Row],[Vertex 1]],GroupVertices[Vertex],0)),1,1,"")</f>
        <v>9</v>
      </c>
      <c r="AG25" s="83" t="str">
        <f>REPLACE(INDEX(GroupVertices[Group],MATCH(Edges[[#This Row],[Vertex 2]],GroupVertices[Vertex],0)),1,1,"")</f>
        <v>9</v>
      </c>
      <c r="AH25" s="111">
        <v>4</v>
      </c>
      <c r="AI25" s="112">
        <v>11.764705882352942</v>
      </c>
      <c r="AJ25" s="111">
        <v>0</v>
      </c>
      <c r="AK25" s="112">
        <v>0</v>
      </c>
      <c r="AL25" s="111">
        <v>0</v>
      </c>
      <c r="AM25" s="112">
        <v>0</v>
      </c>
      <c r="AN25" s="111">
        <v>30</v>
      </c>
      <c r="AO25" s="112">
        <v>88.23529411764706</v>
      </c>
      <c r="AP25" s="111">
        <v>34</v>
      </c>
    </row>
    <row r="26" spans="1:42" ht="15">
      <c r="A26" s="65" t="s">
        <v>360</v>
      </c>
      <c r="B26" s="65" t="s">
        <v>358</v>
      </c>
      <c r="C26" s="66" t="s">
        <v>2942</v>
      </c>
      <c r="D26" s="67">
        <v>3</v>
      </c>
      <c r="E26" s="68"/>
      <c r="F26" s="69">
        <v>40</v>
      </c>
      <c r="G26" s="66"/>
      <c r="H26" s="70"/>
      <c r="I26" s="71"/>
      <c r="J26" s="71"/>
      <c r="K26" s="35" t="s">
        <v>65</v>
      </c>
      <c r="L26" s="79">
        <v>26</v>
      </c>
      <c r="M26" s="79"/>
      <c r="N26" s="73"/>
      <c r="O26" s="81" t="s">
        <v>563</v>
      </c>
      <c r="P26" s="81" t="s">
        <v>325</v>
      </c>
      <c r="Q26" s="84" t="s">
        <v>589</v>
      </c>
      <c r="R26" s="81" t="s">
        <v>360</v>
      </c>
      <c r="S26" s="81" t="s">
        <v>873</v>
      </c>
      <c r="T26" s="86" t="str">
        <f>HYPERLINK("http://www.youtube.com/channel/UCYS7wFuePefGbkq9zjRt8sQ")</f>
        <v>http://www.youtube.com/channel/UCYS7wFuePefGbkq9zjRt8sQ</v>
      </c>
      <c r="U26" s="81"/>
      <c r="V26" s="81" t="s">
        <v>1096</v>
      </c>
      <c r="W26" s="86" t="str">
        <f>HYPERLINK("https://www.youtube.com/watch?v=39yXz72qdow")</f>
        <v>https://www.youtube.com/watch?v=39yXz72qdow</v>
      </c>
      <c r="X26" s="81" t="s">
        <v>1183</v>
      </c>
      <c r="Y26" s="81">
        <v>0</v>
      </c>
      <c r="Z26" s="88">
        <v>42286.4718287037</v>
      </c>
      <c r="AA26" s="88">
        <v>42286.4718287037</v>
      </c>
      <c r="AB26" s="81" t="s">
        <v>1187</v>
      </c>
      <c r="AC26" s="81" t="s">
        <v>1221</v>
      </c>
      <c r="AD26" s="84" t="s">
        <v>1239</v>
      </c>
      <c r="AE26" s="82">
        <v>1</v>
      </c>
      <c r="AF26" s="83" t="str">
        <f>REPLACE(INDEX(GroupVertices[Group],MATCH(Edges[[#This Row],[Vertex 1]],GroupVertices[Vertex],0)),1,1,"")</f>
        <v>9</v>
      </c>
      <c r="AG26" s="83" t="str">
        <f>REPLACE(INDEX(GroupVertices[Group],MATCH(Edges[[#This Row],[Vertex 2]],GroupVertices[Vertex],0)),1,1,"")</f>
        <v>9</v>
      </c>
      <c r="AH26" s="111">
        <v>0</v>
      </c>
      <c r="AI26" s="112">
        <v>0</v>
      </c>
      <c r="AJ26" s="111">
        <v>0</v>
      </c>
      <c r="AK26" s="112">
        <v>0</v>
      </c>
      <c r="AL26" s="111">
        <v>0</v>
      </c>
      <c r="AM26" s="112">
        <v>0</v>
      </c>
      <c r="AN26" s="111">
        <v>27</v>
      </c>
      <c r="AO26" s="112">
        <v>100</v>
      </c>
      <c r="AP26" s="111">
        <v>27</v>
      </c>
    </row>
    <row r="27" spans="1:42" ht="15">
      <c r="A27" s="65" t="s">
        <v>361</v>
      </c>
      <c r="B27" s="65" t="s">
        <v>358</v>
      </c>
      <c r="C27" s="66" t="s">
        <v>2942</v>
      </c>
      <c r="D27" s="67">
        <v>3</v>
      </c>
      <c r="E27" s="68"/>
      <c r="F27" s="69">
        <v>40</v>
      </c>
      <c r="G27" s="66"/>
      <c r="H27" s="70"/>
      <c r="I27" s="71"/>
      <c r="J27" s="71"/>
      <c r="K27" s="35" t="s">
        <v>65</v>
      </c>
      <c r="L27" s="79">
        <v>27</v>
      </c>
      <c r="M27" s="79"/>
      <c r="N27" s="73"/>
      <c r="O27" s="81" t="s">
        <v>563</v>
      </c>
      <c r="P27" s="81" t="s">
        <v>325</v>
      </c>
      <c r="Q27" s="84" t="s">
        <v>590</v>
      </c>
      <c r="R27" s="81" t="s">
        <v>361</v>
      </c>
      <c r="S27" s="81" t="s">
        <v>874</v>
      </c>
      <c r="T27" s="86" t="str">
        <f>HYPERLINK("http://www.youtube.com/channel/UCDCjHgdB_5n2ppVPI3Vt8Ew")</f>
        <v>http://www.youtube.com/channel/UCDCjHgdB_5n2ppVPI3Vt8Ew</v>
      </c>
      <c r="U27" s="81"/>
      <c r="V27" s="81" t="s">
        <v>1096</v>
      </c>
      <c r="W27" s="86" t="str">
        <f>HYPERLINK("https://www.youtube.com/watch?v=39yXz72qdow")</f>
        <v>https://www.youtube.com/watch?v=39yXz72qdow</v>
      </c>
      <c r="X27" s="81" t="s">
        <v>1183</v>
      </c>
      <c r="Y27" s="81">
        <v>0</v>
      </c>
      <c r="Z27" s="88">
        <v>42513.97956018519</v>
      </c>
      <c r="AA27" s="88">
        <v>42513.97956018519</v>
      </c>
      <c r="AB27" s="81"/>
      <c r="AC27" s="81"/>
      <c r="AD27" s="84" t="s">
        <v>1239</v>
      </c>
      <c r="AE27" s="82">
        <v>1</v>
      </c>
      <c r="AF27" s="83" t="str">
        <f>REPLACE(INDEX(GroupVertices[Group],MATCH(Edges[[#This Row],[Vertex 1]],GroupVertices[Vertex],0)),1,1,"")</f>
        <v>9</v>
      </c>
      <c r="AG27" s="83" t="str">
        <f>REPLACE(INDEX(GroupVertices[Group],MATCH(Edges[[#This Row],[Vertex 2]],GroupVertices[Vertex],0)),1,1,"")</f>
        <v>9</v>
      </c>
      <c r="AH27" s="111">
        <v>0</v>
      </c>
      <c r="AI27" s="112">
        <v>0</v>
      </c>
      <c r="AJ27" s="111">
        <v>0</v>
      </c>
      <c r="AK27" s="112">
        <v>0</v>
      </c>
      <c r="AL27" s="111">
        <v>0</v>
      </c>
      <c r="AM27" s="112">
        <v>0</v>
      </c>
      <c r="AN27" s="111">
        <v>21</v>
      </c>
      <c r="AO27" s="112">
        <v>100</v>
      </c>
      <c r="AP27" s="111">
        <v>21</v>
      </c>
    </row>
    <row r="28" spans="1:42" ht="15">
      <c r="A28" s="65" t="s">
        <v>362</v>
      </c>
      <c r="B28" s="65" t="s">
        <v>358</v>
      </c>
      <c r="C28" s="66" t="s">
        <v>2942</v>
      </c>
      <c r="D28" s="67">
        <v>3</v>
      </c>
      <c r="E28" s="68"/>
      <c r="F28" s="69">
        <v>40</v>
      </c>
      <c r="G28" s="66"/>
      <c r="H28" s="70"/>
      <c r="I28" s="71"/>
      <c r="J28" s="71"/>
      <c r="K28" s="35" t="s">
        <v>65</v>
      </c>
      <c r="L28" s="79">
        <v>28</v>
      </c>
      <c r="M28" s="79"/>
      <c r="N28" s="73"/>
      <c r="O28" s="81" t="s">
        <v>563</v>
      </c>
      <c r="P28" s="81" t="s">
        <v>325</v>
      </c>
      <c r="Q28" s="84" t="s">
        <v>591</v>
      </c>
      <c r="R28" s="81" t="s">
        <v>362</v>
      </c>
      <c r="S28" s="81" t="s">
        <v>875</v>
      </c>
      <c r="T28" s="86" t="str">
        <f>HYPERLINK("http://www.youtube.com/channel/UCYL-NgWVd0Ebir7pXVsMB2w")</f>
        <v>http://www.youtube.com/channel/UCYL-NgWVd0Ebir7pXVsMB2w</v>
      </c>
      <c r="U28" s="81"/>
      <c r="V28" s="81" t="s">
        <v>1096</v>
      </c>
      <c r="W28" s="86" t="str">
        <f>HYPERLINK("https://www.youtube.com/watch?v=39yXz72qdow")</f>
        <v>https://www.youtube.com/watch?v=39yXz72qdow</v>
      </c>
      <c r="X28" s="81" t="s">
        <v>1183</v>
      </c>
      <c r="Y28" s="81">
        <v>0</v>
      </c>
      <c r="Z28" s="88">
        <v>42590.445601851854</v>
      </c>
      <c r="AA28" s="88">
        <v>42590.445601851854</v>
      </c>
      <c r="AB28" s="81"/>
      <c r="AC28" s="81"/>
      <c r="AD28" s="84" t="s">
        <v>1239</v>
      </c>
      <c r="AE28" s="82">
        <v>1</v>
      </c>
      <c r="AF28" s="83" t="str">
        <f>REPLACE(INDEX(GroupVertices[Group],MATCH(Edges[[#This Row],[Vertex 1]],GroupVertices[Vertex],0)),1,1,"")</f>
        <v>9</v>
      </c>
      <c r="AG28" s="83" t="str">
        <f>REPLACE(INDEX(GroupVertices[Group],MATCH(Edges[[#This Row],[Vertex 2]],GroupVertices[Vertex],0)),1,1,"")</f>
        <v>9</v>
      </c>
      <c r="AH28" s="111">
        <v>0</v>
      </c>
      <c r="AI28" s="112">
        <v>0</v>
      </c>
      <c r="AJ28" s="111">
        <v>0</v>
      </c>
      <c r="AK28" s="112">
        <v>0</v>
      </c>
      <c r="AL28" s="111">
        <v>0</v>
      </c>
      <c r="AM28" s="112">
        <v>0</v>
      </c>
      <c r="AN28" s="111">
        <v>6</v>
      </c>
      <c r="AO28" s="112">
        <v>100</v>
      </c>
      <c r="AP28" s="111">
        <v>6</v>
      </c>
    </row>
    <row r="29" spans="1:42" ht="15">
      <c r="A29" s="65" t="s">
        <v>363</v>
      </c>
      <c r="B29" s="65" t="s">
        <v>364</v>
      </c>
      <c r="C29" s="66" t="s">
        <v>2942</v>
      </c>
      <c r="D29" s="67">
        <v>3</v>
      </c>
      <c r="E29" s="68"/>
      <c r="F29" s="69">
        <v>40</v>
      </c>
      <c r="G29" s="66"/>
      <c r="H29" s="70"/>
      <c r="I29" s="71"/>
      <c r="J29" s="71"/>
      <c r="K29" s="35" t="s">
        <v>65</v>
      </c>
      <c r="L29" s="79">
        <v>29</v>
      </c>
      <c r="M29" s="79"/>
      <c r="N29" s="73"/>
      <c r="O29" s="81" t="s">
        <v>564</v>
      </c>
      <c r="P29" s="81" t="s">
        <v>566</v>
      </c>
      <c r="Q29" s="84" t="s">
        <v>592</v>
      </c>
      <c r="R29" s="81" t="s">
        <v>363</v>
      </c>
      <c r="S29" s="81" t="s">
        <v>876</v>
      </c>
      <c r="T29" s="86" t="str">
        <f>HYPERLINK("http://www.youtube.com/channel/UCg66xuzMQIOjiGIT5PMHOcw")</f>
        <v>http://www.youtube.com/channel/UCg66xuzMQIOjiGIT5PMHOcw</v>
      </c>
      <c r="U29" s="81" t="s">
        <v>1040</v>
      </c>
      <c r="V29" s="81" t="s">
        <v>1096</v>
      </c>
      <c r="W29" s="86" t="str">
        <f>HYPERLINK("https://www.youtube.com/watch?v=39yXz72qdow")</f>
        <v>https://www.youtube.com/watch?v=39yXz72qdow</v>
      </c>
      <c r="X29" s="81" t="s">
        <v>1183</v>
      </c>
      <c r="Y29" s="81">
        <v>0</v>
      </c>
      <c r="Z29" s="88">
        <v>43324.952673611115</v>
      </c>
      <c r="AA29" s="88">
        <v>43324.952673611115</v>
      </c>
      <c r="AB29" s="81"/>
      <c r="AC29" s="81"/>
      <c r="AD29" s="84" t="s">
        <v>1239</v>
      </c>
      <c r="AE29" s="82">
        <v>1</v>
      </c>
      <c r="AF29" s="83" t="str">
        <f>REPLACE(INDEX(GroupVertices[Group],MATCH(Edges[[#This Row],[Vertex 1]],GroupVertices[Vertex],0)),1,1,"")</f>
        <v>9</v>
      </c>
      <c r="AG29" s="83" t="str">
        <f>REPLACE(INDEX(GroupVertices[Group],MATCH(Edges[[#This Row],[Vertex 2]],GroupVertices[Vertex],0)),1,1,"")</f>
        <v>9</v>
      </c>
      <c r="AH29" s="111">
        <v>0</v>
      </c>
      <c r="AI29" s="112">
        <v>0</v>
      </c>
      <c r="AJ29" s="111">
        <v>1</v>
      </c>
      <c r="AK29" s="112">
        <v>9.090909090909092</v>
      </c>
      <c r="AL29" s="111">
        <v>0</v>
      </c>
      <c r="AM29" s="112">
        <v>0</v>
      </c>
      <c r="AN29" s="111">
        <v>10</v>
      </c>
      <c r="AO29" s="112">
        <v>90.9090909090909</v>
      </c>
      <c r="AP29" s="111">
        <v>11</v>
      </c>
    </row>
    <row r="30" spans="1:42" ht="15">
      <c r="A30" s="65" t="s">
        <v>364</v>
      </c>
      <c r="B30" s="65" t="s">
        <v>358</v>
      </c>
      <c r="C30" s="66" t="s">
        <v>2942</v>
      </c>
      <c r="D30" s="67">
        <v>3</v>
      </c>
      <c r="E30" s="68"/>
      <c r="F30" s="69">
        <v>40</v>
      </c>
      <c r="G30" s="66"/>
      <c r="H30" s="70"/>
      <c r="I30" s="71"/>
      <c r="J30" s="71"/>
      <c r="K30" s="35" t="s">
        <v>65</v>
      </c>
      <c r="L30" s="79">
        <v>30</v>
      </c>
      <c r="M30" s="79"/>
      <c r="N30" s="73"/>
      <c r="O30" s="81" t="s">
        <v>563</v>
      </c>
      <c r="P30" s="81" t="s">
        <v>325</v>
      </c>
      <c r="Q30" s="84" t="s">
        <v>593</v>
      </c>
      <c r="R30" s="81" t="s">
        <v>364</v>
      </c>
      <c r="S30" s="81" t="s">
        <v>877</v>
      </c>
      <c r="T30" s="86" t="str">
        <f>HYPERLINK("http://www.youtube.com/channel/UCo6gG1_nUsjZvN4gMpjdGZA")</f>
        <v>http://www.youtube.com/channel/UCo6gG1_nUsjZvN4gMpjdGZA</v>
      </c>
      <c r="U30" s="81"/>
      <c r="V30" s="81" t="s">
        <v>1096</v>
      </c>
      <c r="W30" s="86" t="str">
        <f>HYPERLINK("https://www.youtube.com/watch?v=39yXz72qdow")</f>
        <v>https://www.youtube.com/watch?v=39yXz72qdow</v>
      </c>
      <c r="X30" s="81" t="s">
        <v>1183</v>
      </c>
      <c r="Y30" s="81">
        <v>0</v>
      </c>
      <c r="Z30" s="88">
        <v>42935.27025462963</v>
      </c>
      <c r="AA30" s="88">
        <v>42935.27125</v>
      </c>
      <c r="AB30" s="81"/>
      <c r="AC30" s="81"/>
      <c r="AD30" s="84" t="s">
        <v>1239</v>
      </c>
      <c r="AE30" s="82">
        <v>1</v>
      </c>
      <c r="AF30" s="83" t="str">
        <f>REPLACE(INDEX(GroupVertices[Group],MATCH(Edges[[#This Row],[Vertex 1]],GroupVertices[Vertex],0)),1,1,"")</f>
        <v>9</v>
      </c>
      <c r="AG30" s="83" t="str">
        <f>REPLACE(INDEX(GroupVertices[Group],MATCH(Edges[[#This Row],[Vertex 2]],GroupVertices[Vertex],0)),1,1,"")</f>
        <v>9</v>
      </c>
      <c r="AH30" s="111">
        <v>0</v>
      </c>
      <c r="AI30" s="112">
        <v>0</v>
      </c>
      <c r="AJ30" s="111">
        <v>2</v>
      </c>
      <c r="AK30" s="112">
        <v>4.444444444444445</v>
      </c>
      <c r="AL30" s="111">
        <v>0</v>
      </c>
      <c r="AM30" s="112">
        <v>0</v>
      </c>
      <c r="AN30" s="111">
        <v>43</v>
      </c>
      <c r="AO30" s="112">
        <v>95.55555555555556</v>
      </c>
      <c r="AP30" s="111">
        <v>45</v>
      </c>
    </row>
    <row r="31" spans="1:42" ht="15">
      <c r="A31" s="65" t="s">
        <v>365</v>
      </c>
      <c r="B31" s="65" t="s">
        <v>369</v>
      </c>
      <c r="C31" s="66" t="s">
        <v>2942</v>
      </c>
      <c r="D31" s="67">
        <v>3</v>
      </c>
      <c r="E31" s="68"/>
      <c r="F31" s="69">
        <v>40</v>
      </c>
      <c r="G31" s="66"/>
      <c r="H31" s="70"/>
      <c r="I31" s="71"/>
      <c r="J31" s="71"/>
      <c r="K31" s="35" t="s">
        <v>65</v>
      </c>
      <c r="L31" s="79">
        <v>31</v>
      </c>
      <c r="M31" s="79"/>
      <c r="N31" s="73"/>
      <c r="O31" s="81" t="s">
        <v>563</v>
      </c>
      <c r="P31" s="81" t="s">
        <v>325</v>
      </c>
      <c r="Q31" s="84" t="s">
        <v>594</v>
      </c>
      <c r="R31" s="81" t="s">
        <v>365</v>
      </c>
      <c r="S31" s="81" t="s">
        <v>878</v>
      </c>
      <c r="T31" s="86" t="str">
        <f>HYPERLINK("http://www.youtube.com/channel/UCJNdQJZz7IuBgHWIIoJBvJg")</f>
        <v>http://www.youtube.com/channel/UCJNdQJZz7IuBgHWIIoJBvJg</v>
      </c>
      <c r="U31" s="81"/>
      <c r="V31" s="81" t="s">
        <v>1097</v>
      </c>
      <c r="W31" s="86" t="str">
        <f>HYPERLINK("https://www.youtube.com/watch?v=vp7VXgvVAPg")</f>
        <v>https://www.youtube.com/watch?v=vp7VXgvVAPg</v>
      </c>
      <c r="X31" s="81" t="s">
        <v>1183</v>
      </c>
      <c r="Y31" s="81">
        <v>0</v>
      </c>
      <c r="Z31" s="88">
        <v>41319.4555787037</v>
      </c>
      <c r="AA31" s="88">
        <v>41319.4555787037</v>
      </c>
      <c r="AB31" s="81"/>
      <c r="AC31" s="81"/>
      <c r="AD31" s="84" t="s">
        <v>1239</v>
      </c>
      <c r="AE31" s="82">
        <v>1</v>
      </c>
      <c r="AF31" s="83" t="str">
        <f>REPLACE(INDEX(GroupVertices[Group],MATCH(Edges[[#This Row],[Vertex 1]],GroupVertices[Vertex],0)),1,1,"")</f>
        <v>1</v>
      </c>
      <c r="AG31" s="83" t="str">
        <f>REPLACE(INDEX(GroupVertices[Group],MATCH(Edges[[#This Row],[Vertex 2]],GroupVertices[Vertex],0)),1,1,"")</f>
        <v>1</v>
      </c>
      <c r="AH31" s="111">
        <v>5</v>
      </c>
      <c r="AI31" s="112">
        <v>10</v>
      </c>
      <c r="AJ31" s="111">
        <v>0</v>
      </c>
      <c r="AK31" s="112">
        <v>0</v>
      </c>
      <c r="AL31" s="111">
        <v>0</v>
      </c>
      <c r="AM31" s="112">
        <v>0</v>
      </c>
      <c r="AN31" s="111">
        <v>45</v>
      </c>
      <c r="AO31" s="112">
        <v>90</v>
      </c>
      <c r="AP31" s="111">
        <v>50</v>
      </c>
    </row>
    <row r="32" spans="1:42" ht="15">
      <c r="A32" s="65" t="s">
        <v>366</v>
      </c>
      <c r="B32" s="65" t="s">
        <v>367</v>
      </c>
      <c r="C32" s="66" t="s">
        <v>2942</v>
      </c>
      <c r="D32" s="67">
        <v>3</v>
      </c>
      <c r="E32" s="68"/>
      <c r="F32" s="69">
        <v>40</v>
      </c>
      <c r="G32" s="66"/>
      <c r="H32" s="70"/>
      <c r="I32" s="71"/>
      <c r="J32" s="71"/>
      <c r="K32" s="35" t="s">
        <v>65</v>
      </c>
      <c r="L32" s="79">
        <v>32</v>
      </c>
      <c r="M32" s="79"/>
      <c r="N32" s="73"/>
      <c r="O32" s="81" t="s">
        <v>564</v>
      </c>
      <c r="P32" s="81" t="s">
        <v>566</v>
      </c>
      <c r="Q32" s="84" t="s">
        <v>595</v>
      </c>
      <c r="R32" s="81" t="s">
        <v>366</v>
      </c>
      <c r="S32" s="81" t="s">
        <v>879</v>
      </c>
      <c r="T32" s="86" t="str">
        <f>HYPERLINK("http://www.youtube.com/channel/UCDmMHvluQEXqJgF4docP0yA")</f>
        <v>http://www.youtube.com/channel/UCDmMHvluQEXqJgF4docP0yA</v>
      </c>
      <c r="U32" s="81" t="s">
        <v>1041</v>
      </c>
      <c r="V32" s="81" t="s">
        <v>1097</v>
      </c>
      <c r="W32" s="86" t="str">
        <f>HYPERLINK("https://www.youtube.com/watch?v=vp7VXgvVAPg")</f>
        <v>https://www.youtube.com/watch?v=vp7VXgvVAPg</v>
      </c>
      <c r="X32" s="81" t="s">
        <v>1183</v>
      </c>
      <c r="Y32" s="81">
        <v>0</v>
      </c>
      <c r="Z32" s="88">
        <v>43027.72387731481</v>
      </c>
      <c r="AA32" s="88">
        <v>43027.72387731481</v>
      </c>
      <c r="AB32" s="81" t="s">
        <v>1188</v>
      </c>
      <c r="AC32" s="81" t="s">
        <v>1222</v>
      </c>
      <c r="AD32" s="84" t="s">
        <v>1239</v>
      </c>
      <c r="AE32" s="82">
        <v>1</v>
      </c>
      <c r="AF32" s="83" t="str">
        <f>REPLACE(INDEX(GroupVertices[Group],MATCH(Edges[[#This Row],[Vertex 1]],GroupVertices[Vertex],0)),1,1,"")</f>
        <v>22</v>
      </c>
      <c r="AG32" s="83" t="str">
        <f>REPLACE(INDEX(GroupVertices[Group],MATCH(Edges[[#This Row],[Vertex 2]],GroupVertices[Vertex],0)),1,1,"")</f>
        <v>22</v>
      </c>
      <c r="AH32" s="111">
        <v>1</v>
      </c>
      <c r="AI32" s="112">
        <v>1.098901098901099</v>
      </c>
      <c r="AJ32" s="111">
        <v>0</v>
      </c>
      <c r="AK32" s="112">
        <v>0</v>
      </c>
      <c r="AL32" s="111">
        <v>0</v>
      </c>
      <c r="AM32" s="112">
        <v>0</v>
      </c>
      <c r="AN32" s="111">
        <v>90</v>
      </c>
      <c r="AO32" s="112">
        <v>98.9010989010989</v>
      </c>
      <c r="AP32" s="111">
        <v>91</v>
      </c>
    </row>
    <row r="33" spans="1:42" ht="15">
      <c r="A33" s="65" t="s">
        <v>367</v>
      </c>
      <c r="B33" s="65" t="s">
        <v>369</v>
      </c>
      <c r="C33" s="66" t="s">
        <v>2942</v>
      </c>
      <c r="D33" s="67">
        <v>3</v>
      </c>
      <c r="E33" s="68"/>
      <c r="F33" s="69">
        <v>40</v>
      </c>
      <c r="G33" s="66"/>
      <c r="H33" s="70"/>
      <c r="I33" s="71"/>
      <c r="J33" s="71"/>
      <c r="K33" s="35" t="s">
        <v>65</v>
      </c>
      <c r="L33" s="79">
        <v>33</v>
      </c>
      <c r="M33" s="79"/>
      <c r="N33" s="73"/>
      <c r="O33" s="81" t="s">
        <v>563</v>
      </c>
      <c r="P33" s="81" t="s">
        <v>325</v>
      </c>
      <c r="Q33" s="84" t="s">
        <v>596</v>
      </c>
      <c r="R33" s="81" t="s">
        <v>367</v>
      </c>
      <c r="S33" s="81" t="s">
        <v>880</v>
      </c>
      <c r="T33" s="86" t="str">
        <f>HYPERLINK("http://www.youtube.com/channel/UC5J008IAlx4366lCisVipIg")</f>
        <v>http://www.youtube.com/channel/UC5J008IAlx4366lCisVipIg</v>
      </c>
      <c r="U33" s="81"/>
      <c r="V33" s="81" t="s">
        <v>1097</v>
      </c>
      <c r="W33" s="86" t="str">
        <f>HYPERLINK("https://www.youtube.com/watch?v=vp7VXgvVAPg")</f>
        <v>https://www.youtube.com/watch?v=vp7VXgvVAPg</v>
      </c>
      <c r="X33" s="81" t="s">
        <v>1183</v>
      </c>
      <c r="Y33" s="81">
        <v>0</v>
      </c>
      <c r="Z33" s="88">
        <v>41389.53047453704</v>
      </c>
      <c r="AA33" s="88">
        <v>41389.53047453704</v>
      </c>
      <c r="AB33" s="81"/>
      <c r="AC33" s="81"/>
      <c r="AD33" s="84" t="s">
        <v>1239</v>
      </c>
      <c r="AE33" s="82">
        <v>1</v>
      </c>
      <c r="AF33" s="83" t="str">
        <f>REPLACE(INDEX(GroupVertices[Group],MATCH(Edges[[#This Row],[Vertex 1]],GroupVertices[Vertex],0)),1,1,"")</f>
        <v>22</v>
      </c>
      <c r="AG33" s="83" t="str">
        <f>REPLACE(INDEX(GroupVertices[Group],MATCH(Edges[[#This Row],[Vertex 2]],GroupVertices[Vertex],0)),1,1,"")</f>
        <v>1</v>
      </c>
      <c r="AH33" s="111">
        <v>1</v>
      </c>
      <c r="AI33" s="112">
        <v>50</v>
      </c>
      <c r="AJ33" s="111">
        <v>0</v>
      </c>
      <c r="AK33" s="112">
        <v>0</v>
      </c>
      <c r="AL33" s="111">
        <v>0</v>
      </c>
      <c r="AM33" s="112">
        <v>0</v>
      </c>
      <c r="AN33" s="111">
        <v>1</v>
      </c>
      <c r="AO33" s="112">
        <v>50</v>
      </c>
      <c r="AP33" s="111">
        <v>2</v>
      </c>
    </row>
    <row r="34" spans="1:42" ht="15">
      <c r="A34" s="65" t="s">
        <v>368</v>
      </c>
      <c r="B34" s="65" t="s">
        <v>369</v>
      </c>
      <c r="C34" s="66" t="s">
        <v>2942</v>
      </c>
      <c r="D34" s="67">
        <v>3</v>
      </c>
      <c r="E34" s="68"/>
      <c r="F34" s="69">
        <v>40</v>
      </c>
      <c r="G34" s="66"/>
      <c r="H34" s="70"/>
      <c r="I34" s="71"/>
      <c r="J34" s="71"/>
      <c r="K34" s="35" t="s">
        <v>65</v>
      </c>
      <c r="L34" s="79">
        <v>34</v>
      </c>
      <c r="M34" s="79"/>
      <c r="N34" s="73"/>
      <c r="O34" s="81" t="s">
        <v>563</v>
      </c>
      <c r="P34" s="81" t="s">
        <v>325</v>
      </c>
      <c r="Q34" s="84" t="s">
        <v>597</v>
      </c>
      <c r="R34" s="81" t="s">
        <v>368</v>
      </c>
      <c r="S34" s="81" t="s">
        <v>881</v>
      </c>
      <c r="T34" s="86" t="str">
        <f>HYPERLINK("http://www.youtube.com/channel/UCPvgd5mNI79yGYL0hJAKReA")</f>
        <v>http://www.youtube.com/channel/UCPvgd5mNI79yGYL0hJAKReA</v>
      </c>
      <c r="U34" s="81"/>
      <c r="V34" s="81" t="s">
        <v>1097</v>
      </c>
      <c r="W34" s="86" t="str">
        <f>HYPERLINK("https://www.youtube.com/watch?v=vp7VXgvVAPg")</f>
        <v>https://www.youtube.com/watch?v=vp7VXgvVAPg</v>
      </c>
      <c r="X34" s="81" t="s">
        <v>1183</v>
      </c>
      <c r="Y34" s="81">
        <v>0</v>
      </c>
      <c r="Z34" s="88">
        <v>41418.98670138889</v>
      </c>
      <c r="AA34" s="88">
        <v>41418.98670138889</v>
      </c>
      <c r="AB34" s="81"/>
      <c r="AC34" s="81"/>
      <c r="AD34" s="84" t="s">
        <v>1239</v>
      </c>
      <c r="AE34" s="82">
        <v>1</v>
      </c>
      <c r="AF34" s="83" t="str">
        <f>REPLACE(INDEX(GroupVertices[Group],MATCH(Edges[[#This Row],[Vertex 1]],GroupVertices[Vertex],0)),1,1,"")</f>
        <v>1</v>
      </c>
      <c r="AG34" s="83" t="str">
        <f>REPLACE(INDEX(GroupVertices[Group],MATCH(Edges[[#This Row],[Vertex 2]],GroupVertices[Vertex],0)),1,1,"")</f>
        <v>1</v>
      </c>
      <c r="AH34" s="111">
        <v>2</v>
      </c>
      <c r="AI34" s="112">
        <v>8</v>
      </c>
      <c r="AJ34" s="111">
        <v>0</v>
      </c>
      <c r="AK34" s="112">
        <v>0</v>
      </c>
      <c r="AL34" s="111">
        <v>0</v>
      </c>
      <c r="AM34" s="112">
        <v>0</v>
      </c>
      <c r="AN34" s="111">
        <v>23</v>
      </c>
      <c r="AO34" s="112">
        <v>92</v>
      </c>
      <c r="AP34" s="111">
        <v>25</v>
      </c>
    </row>
    <row r="35" spans="1:42" ht="15">
      <c r="A35" s="65" t="s">
        <v>369</v>
      </c>
      <c r="B35" s="65" t="s">
        <v>370</v>
      </c>
      <c r="C35" s="66" t="s">
        <v>2943</v>
      </c>
      <c r="D35" s="67">
        <v>4.4</v>
      </c>
      <c r="E35" s="68"/>
      <c r="F35" s="69">
        <v>35</v>
      </c>
      <c r="G35" s="66"/>
      <c r="H35" s="70"/>
      <c r="I35" s="71"/>
      <c r="J35" s="71"/>
      <c r="K35" s="35" t="s">
        <v>66</v>
      </c>
      <c r="L35" s="79">
        <v>35</v>
      </c>
      <c r="M35" s="79"/>
      <c r="N35" s="73"/>
      <c r="O35" s="81" t="s">
        <v>564</v>
      </c>
      <c r="P35" s="81" t="s">
        <v>566</v>
      </c>
      <c r="Q35" s="84" t="s">
        <v>598</v>
      </c>
      <c r="R35" s="81" t="s">
        <v>369</v>
      </c>
      <c r="S35" s="81" t="s">
        <v>882</v>
      </c>
      <c r="T35" s="86" t="str">
        <f>HYPERLINK("http://www.youtube.com/channel/UCerAw4EfTOnYYxLLPZAzMxQ")</f>
        <v>http://www.youtube.com/channel/UCerAw4EfTOnYYxLLPZAzMxQ</v>
      </c>
      <c r="U35" s="81" t="s">
        <v>1042</v>
      </c>
      <c r="V35" s="81" t="s">
        <v>1097</v>
      </c>
      <c r="W35" s="86" t="str">
        <f>HYPERLINK("https://www.youtube.com/watch?v=vp7VXgvVAPg")</f>
        <v>https://www.youtube.com/watch?v=vp7VXgvVAPg</v>
      </c>
      <c r="X35" s="81" t="s">
        <v>1183</v>
      </c>
      <c r="Y35" s="81">
        <v>0</v>
      </c>
      <c r="Z35" s="88">
        <v>41620.59122685185</v>
      </c>
      <c r="AA35" s="88">
        <v>41620.59122685185</v>
      </c>
      <c r="AB35" s="81"/>
      <c r="AC35" s="81"/>
      <c r="AD35" s="84" t="s">
        <v>1239</v>
      </c>
      <c r="AE35" s="82">
        <v>2</v>
      </c>
      <c r="AF35" s="83" t="str">
        <f>REPLACE(INDEX(GroupVertices[Group],MATCH(Edges[[#This Row],[Vertex 1]],GroupVertices[Vertex],0)),1,1,"")</f>
        <v>1</v>
      </c>
      <c r="AG35" s="83" t="str">
        <f>REPLACE(INDEX(GroupVertices[Group],MATCH(Edges[[#This Row],[Vertex 2]],GroupVertices[Vertex],0)),1,1,"")</f>
        <v>1</v>
      </c>
      <c r="AH35" s="111">
        <v>1</v>
      </c>
      <c r="AI35" s="112">
        <v>2.9411764705882355</v>
      </c>
      <c r="AJ35" s="111">
        <v>0</v>
      </c>
      <c r="AK35" s="112">
        <v>0</v>
      </c>
      <c r="AL35" s="111">
        <v>0</v>
      </c>
      <c r="AM35" s="112">
        <v>0</v>
      </c>
      <c r="AN35" s="111">
        <v>33</v>
      </c>
      <c r="AO35" s="112">
        <v>97.05882352941177</v>
      </c>
      <c r="AP35" s="111">
        <v>34</v>
      </c>
    </row>
    <row r="36" spans="1:42" ht="15">
      <c r="A36" s="65" t="s">
        <v>370</v>
      </c>
      <c r="B36" s="65" t="s">
        <v>370</v>
      </c>
      <c r="C36" s="66" t="s">
        <v>2942</v>
      </c>
      <c r="D36" s="67">
        <v>3</v>
      </c>
      <c r="E36" s="68"/>
      <c r="F36" s="69">
        <v>40</v>
      </c>
      <c r="G36" s="66"/>
      <c r="H36" s="70"/>
      <c r="I36" s="71"/>
      <c r="J36" s="71"/>
      <c r="K36" s="35" t="s">
        <v>65</v>
      </c>
      <c r="L36" s="79">
        <v>36</v>
      </c>
      <c r="M36" s="79"/>
      <c r="N36" s="73"/>
      <c r="O36" s="81" t="s">
        <v>564</v>
      </c>
      <c r="P36" s="81" t="s">
        <v>566</v>
      </c>
      <c r="Q36" s="84" t="s">
        <v>599</v>
      </c>
      <c r="R36" s="81" t="s">
        <v>370</v>
      </c>
      <c r="S36" s="81" t="s">
        <v>883</v>
      </c>
      <c r="T36" s="86" t="str">
        <f>HYPERLINK("http://www.youtube.com/channel/UC8CPBnQ5vh85_8cwZ6gRFBQ")</f>
        <v>http://www.youtube.com/channel/UC8CPBnQ5vh85_8cwZ6gRFBQ</v>
      </c>
      <c r="U36" s="81" t="s">
        <v>1042</v>
      </c>
      <c r="V36" s="81" t="s">
        <v>1097</v>
      </c>
      <c r="W36" s="86" t="str">
        <f>HYPERLINK("https://www.youtube.com/watch?v=vp7VXgvVAPg")</f>
        <v>https://www.youtube.com/watch?v=vp7VXgvVAPg</v>
      </c>
      <c r="X36" s="81" t="s">
        <v>1183</v>
      </c>
      <c r="Y36" s="81">
        <v>0</v>
      </c>
      <c r="Z36" s="88">
        <v>41620.61599537037</v>
      </c>
      <c r="AA36" s="88">
        <v>41620.61599537037</v>
      </c>
      <c r="AB36" s="81"/>
      <c r="AC36" s="81"/>
      <c r="AD36" s="84" t="s">
        <v>1239</v>
      </c>
      <c r="AE36" s="82">
        <v>1</v>
      </c>
      <c r="AF36" s="83" t="str">
        <f>REPLACE(INDEX(GroupVertices[Group],MATCH(Edges[[#This Row],[Vertex 1]],GroupVertices[Vertex],0)),1,1,"")</f>
        <v>1</v>
      </c>
      <c r="AG36" s="83" t="str">
        <f>REPLACE(INDEX(GroupVertices[Group],MATCH(Edges[[#This Row],[Vertex 2]],GroupVertices[Vertex],0)),1,1,"")</f>
        <v>1</v>
      </c>
      <c r="AH36" s="111">
        <v>5</v>
      </c>
      <c r="AI36" s="112">
        <v>5.376344086021505</v>
      </c>
      <c r="AJ36" s="111">
        <v>0</v>
      </c>
      <c r="AK36" s="112">
        <v>0</v>
      </c>
      <c r="AL36" s="111">
        <v>0</v>
      </c>
      <c r="AM36" s="112">
        <v>0</v>
      </c>
      <c r="AN36" s="111">
        <v>88</v>
      </c>
      <c r="AO36" s="112">
        <v>94.6236559139785</v>
      </c>
      <c r="AP36" s="111">
        <v>93</v>
      </c>
    </row>
    <row r="37" spans="1:42" ht="15">
      <c r="A37" s="65" t="s">
        <v>369</v>
      </c>
      <c r="B37" s="65" t="s">
        <v>370</v>
      </c>
      <c r="C37" s="66" t="s">
        <v>2943</v>
      </c>
      <c r="D37" s="67">
        <v>4.4</v>
      </c>
      <c r="E37" s="68"/>
      <c r="F37" s="69">
        <v>35</v>
      </c>
      <c r="G37" s="66"/>
      <c r="H37" s="70"/>
      <c r="I37" s="71"/>
      <c r="J37" s="71"/>
      <c r="K37" s="35" t="s">
        <v>66</v>
      </c>
      <c r="L37" s="79">
        <v>37</v>
      </c>
      <c r="M37" s="79"/>
      <c r="N37" s="73"/>
      <c r="O37" s="81" t="s">
        <v>564</v>
      </c>
      <c r="P37" s="81" t="s">
        <v>566</v>
      </c>
      <c r="Q37" s="84" t="s">
        <v>600</v>
      </c>
      <c r="R37" s="81" t="s">
        <v>369</v>
      </c>
      <c r="S37" s="81" t="s">
        <v>882</v>
      </c>
      <c r="T37" s="86" t="str">
        <f>HYPERLINK("http://www.youtube.com/channel/UCerAw4EfTOnYYxLLPZAzMxQ")</f>
        <v>http://www.youtube.com/channel/UCerAw4EfTOnYYxLLPZAzMxQ</v>
      </c>
      <c r="U37" s="81" t="s">
        <v>1042</v>
      </c>
      <c r="V37" s="81" t="s">
        <v>1097</v>
      </c>
      <c r="W37" s="86" t="str">
        <f>HYPERLINK("https://www.youtube.com/watch?v=vp7VXgvVAPg")</f>
        <v>https://www.youtube.com/watch?v=vp7VXgvVAPg</v>
      </c>
      <c r="X37" s="81" t="s">
        <v>1183</v>
      </c>
      <c r="Y37" s="81">
        <v>0</v>
      </c>
      <c r="Z37" s="88">
        <v>41620.66725694444</v>
      </c>
      <c r="AA37" s="88">
        <v>41620.66725694444</v>
      </c>
      <c r="AB37" s="81"/>
      <c r="AC37" s="81"/>
      <c r="AD37" s="84" t="s">
        <v>1239</v>
      </c>
      <c r="AE37" s="82">
        <v>2</v>
      </c>
      <c r="AF37" s="83" t="str">
        <f>REPLACE(INDEX(GroupVertices[Group],MATCH(Edges[[#This Row],[Vertex 1]],GroupVertices[Vertex],0)),1,1,"")</f>
        <v>1</v>
      </c>
      <c r="AG37" s="83" t="str">
        <f>REPLACE(INDEX(GroupVertices[Group],MATCH(Edges[[#This Row],[Vertex 2]],GroupVertices[Vertex],0)),1,1,"")</f>
        <v>1</v>
      </c>
      <c r="AH37" s="111">
        <v>2</v>
      </c>
      <c r="AI37" s="112">
        <v>2.0618556701030926</v>
      </c>
      <c r="AJ37" s="111">
        <v>0</v>
      </c>
      <c r="AK37" s="112">
        <v>0</v>
      </c>
      <c r="AL37" s="111">
        <v>0</v>
      </c>
      <c r="AM37" s="112">
        <v>0</v>
      </c>
      <c r="AN37" s="111">
        <v>95</v>
      </c>
      <c r="AO37" s="112">
        <v>97.9381443298969</v>
      </c>
      <c r="AP37" s="111">
        <v>97</v>
      </c>
    </row>
    <row r="38" spans="1:42" ht="15">
      <c r="A38" s="65" t="s">
        <v>370</v>
      </c>
      <c r="B38" s="65" t="s">
        <v>369</v>
      </c>
      <c r="C38" s="66" t="s">
        <v>2942</v>
      </c>
      <c r="D38" s="67">
        <v>3</v>
      </c>
      <c r="E38" s="68"/>
      <c r="F38" s="69">
        <v>40</v>
      </c>
      <c r="G38" s="66"/>
      <c r="H38" s="70"/>
      <c r="I38" s="71"/>
      <c r="J38" s="71"/>
      <c r="K38" s="35" t="s">
        <v>66</v>
      </c>
      <c r="L38" s="79">
        <v>38</v>
      </c>
      <c r="M38" s="79"/>
      <c r="N38" s="73"/>
      <c r="O38" s="81" t="s">
        <v>563</v>
      </c>
      <c r="P38" s="81" t="s">
        <v>325</v>
      </c>
      <c r="Q38" s="84" t="s">
        <v>601</v>
      </c>
      <c r="R38" s="81" t="s">
        <v>370</v>
      </c>
      <c r="S38" s="81" t="s">
        <v>883</v>
      </c>
      <c r="T38" s="86" t="str">
        <f>HYPERLINK("http://www.youtube.com/channel/UC8CPBnQ5vh85_8cwZ6gRFBQ")</f>
        <v>http://www.youtube.com/channel/UC8CPBnQ5vh85_8cwZ6gRFBQ</v>
      </c>
      <c r="U38" s="81"/>
      <c r="V38" s="81" t="s">
        <v>1097</v>
      </c>
      <c r="W38" s="86" t="str">
        <f>HYPERLINK("https://www.youtube.com/watch?v=vp7VXgvVAPg")</f>
        <v>https://www.youtube.com/watch?v=vp7VXgvVAPg</v>
      </c>
      <c r="X38" s="81" t="s">
        <v>1183</v>
      </c>
      <c r="Y38" s="81">
        <v>0</v>
      </c>
      <c r="Z38" s="88">
        <v>41620.28258101852</v>
      </c>
      <c r="AA38" s="88">
        <v>41620.28258101852</v>
      </c>
      <c r="AB38" s="81"/>
      <c r="AC38" s="81"/>
      <c r="AD38" s="84" t="s">
        <v>1239</v>
      </c>
      <c r="AE38" s="82">
        <v>1</v>
      </c>
      <c r="AF38" s="83" t="str">
        <f>REPLACE(INDEX(GroupVertices[Group],MATCH(Edges[[#This Row],[Vertex 1]],GroupVertices[Vertex],0)),1,1,"")</f>
        <v>1</v>
      </c>
      <c r="AG38" s="83" t="str">
        <f>REPLACE(INDEX(GroupVertices[Group],MATCH(Edges[[#This Row],[Vertex 2]],GroupVertices[Vertex],0)),1,1,"")</f>
        <v>1</v>
      </c>
      <c r="AH38" s="111">
        <v>2</v>
      </c>
      <c r="AI38" s="112">
        <v>13.333333333333334</v>
      </c>
      <c r="AJ38" s="111">
        <v>0</v>
      </c>
      <c r="AK38" s="112">
        <v>0</v>
      </c>
      <c r="AL38" s="111">
        <v>0</v>
      </c>
      <c r="AM38" s="112">
        <v>0</v>
      </c>
      <c r="AN38" s="111">
        <v>13</v>
      </c>
      <c r="AO38" s="112">
        <v>86.66666666666667</v>
      </c>
      <c r="AP38" s="111">
        <v>15</v>
      </c>
    </row>
    <row r="39" spans="1:42" ht="15">
      <c r="A39" s="65" t="s">
        <v>371</v>
      </c>
      <c r="B39" s="65" t="s">
        <v>358</v>
      </c>
      <c r="C39" s="66" t="s">
        <v>2942</v>
      </c>
      <c r="D39" s="67">
        <v>3</v>
      </c>
      <c r="E39" s="68"/>
      <c r="F39" s="69">
        <v>40</v>
      </c>
      <c r="G39" s="66"/>
      <c r="H39" s="70"/>
      <c r="I39" s="71"/>
      <c r="J39" s="71"/>
      <c r="K39" s="35" t="s">
        <v>65</v>
      </c>
      <c r="L39" s="79">
        <v>39</v>
      </c>
      <c r="M39" s="79"/>
      <c r="N39" s="73"/>
      <c r="O39" s="81" t="s">
        <v>563</v>
      </c>
      <c r="P39" s="81" t="s">
        <v>325</v>
      </c>
      <c r="Q39" s="84" t="s">
        <v>602</v>
      </c>
      <c r="R39" s="81" t="s">
        <v>371</v>
      </c>
      <c r="S39" s="81" t="s">
        <v>884</v>
      </c>
      <c r="T39" s="86" t="str">
        <f>HYPERLINK("http://www.youtube.com/channel/UCqV3NeKeh8lNw8bLTheL24g")</f>
        <v>http://www.youtube.com/channel/UCqV3NeKeh8lNw8bLTheL24g</v>
      </c>
      <c r="U39" s="81"/>
      <c r="V39" s="81" t="s">
        <v>1096</v>
      </c>
      <c r="W39" s="86" t="str">
        <f>HYPERLINK("https://www.youtube.com/watch?v=39yXz72qdow")</f>
        <v>https://www.youtube.com/watch?v=39yXz72qdow</v>
      </c>
      <c r="X39" s="81" t="s">
        <v>1183</v>
      </c>
      <c r="Y39" s="81">
        <v>0</v>
      </c>
      <c r="Z39" s="88">
        <v>42613.513402777775</v>
      </c>
      <c r="AA39" s="88">
        <v>42613.513402777775</v>
      </c>
      <c r="AB39" s="81"/>
      <c r="AC39" s="81"/>
      <c r="AD39" s="84" t="s">
        <v>1239</v>
      </c>
      <c r="AE39" s="82">
        <v>1</v>
      </c>
      <c r="AF39" s="83" t="str">
        <f>REPLACE(INDEX(GroupVertices[Group],MATCH(Edges[[#This Row],[Vertex 1]],GroupVertices[Vertex],0)),1,1,"")</f>
        <v>9</v>
      </c>
      <c r="AG39" s="83" t="str">
        <f>REPLACE(INDEX(GroupVertices[Group],MATCH(Edges[[#This Row],[Vertex 2]],GroupVertices[Vertex],0)),1,1,"")</f>
        <v>9</v>
      </c>
      <c r="AH39" s="111">
        <v>2</v>
      </c>
      <c r="AI39" s="112">
        <v>3.7735849056603774</v>
      </c>
      <c r="AJ39" s="111">
        <v>0</v>
      </c>
      <c r="AK39" s="112">
        <v>0</v>
      </c>
      <c r="AL39" s="111">
        <v>0</v>
      </c>
      <c r="AM39" s="112">
        <v>0</v>
      </c>
      <c r="AN39" s="111">
        <v>51</v>
      </c>
      <c r="AO39" s="112">
        <v>96.22641509433963</v>
      </c>
      <c r="AP39" s="111">
        <v>53</v>
      </c>
    </row>
    <row r="40" spans="1:42" ht="15">
      <c r="A40" s="65" t="s">
        <v>371</v>
      </c>
      <c r="B40" s="65" t="s">
        <v>369</v>
      </c>
      <c r="C40" s="66" t="s">
        <v>2942</v>
      </c>
      <c r="D40" s="67">
        <v>3</v>
      </c>
      <c r="E40" s="68"/>
      <c r="F40" s="69">
        <v>40</v>
      </c>
      <c r="G40" s="66"/>
      <c r="H40" s="70"/>
      <c r="I40" s="71"/>
      <c r="J40" s="71"/>
      <c r="K40" s="35" t="s">
        <v>65</v>
      </c>
      <c r="L40" s="79">
        <v>40</v>
      </c>
      <c r="M40" s="79"/>
      <c r="N40" s="73"/>
      <c r="O40" s="81" t="s">
        <v>563</v>
      </c>
      <c r="P40" s="81" t="s">
        <v>325</v>
      </c>
      <c r="Q40" s="84" t="s">
        <v>603</v>
      </c>
      <c r="R40" s="81" t="s">
        <v>371</v>
      </c>
      <c r="S40" s="81" t="s">
        <v>884</v>
      </c>
      <c r="T40" s="86" t="str">
        <f>HYPERLINK("http://www.youtube.com/channel/UCqV3NeKeh8lNw8bLTheL24g")</f>
        <v>http://www.youtube.com/channel/UCqV3NeKeh8lNw8bLTheL24g</v>
      </c>
      <c r="U40" s="81"/>
      <c r="V40" s="81" t="s">
        <v>1097</v>
      </c>
      <c r="W40" s="86" t="str">
        <f>HYPERLINK("https://www.youtube.com/watch?v=vp7VXgvVAPg")</f>
        <v>https://www.youtube.com/watch?v=vp7VXgvVAPg</v>
      </c>
      <c r="X40" s="81" t="s">
        <v>1183</v>
      </c>
      <c r="Y40" s="81">
        <v>1</v>
      </c>
      <c r="Z40" s="88">
        <v>42613.514548611114</v>
      </c>
      <c r="AA40" s="88">
        <v>42613.514548611114</v>
      </c>
      <c r="AB40" s="81"/>
      <c r="AC40" s="81"/>
      <c r="AD40" s="84" t="s">
        <v>1239</v>
      </c>
      <c r="AE40" s="82">
        <v>1</v>
      </c>
      <c r="AF40" s="83" t="str">
        <f>REPLACE(INDEX(GroupVertices[Group],MATCH(Edges[[#This Row],[Vertex 1]],GroupVertices[Vertex],0)),1,1,"")</f>
        <v>9</v>
      </c>
      <c r="AG40" s="83" t="str">
        <f>REPLACE(INDEX(GroupVertices[Group],MATCH(Edges[[#This Row],[Vertex 2]],GroupVertices[Vertex],0)),1,1,"")</f>
        <v>1</v>
      </c>
      <c r="AH40" s="111">
        <v>2</v>
      </c>
      <c r="AI40" s="112">
        <v>3.6363636363636362</v>
      </c>
      <c r="AJ40" s="111">
        <v>0</v>
      </c>
      <c r="AK40" s="112">
        <v>0</v>
      </c>
      <c r="AL40" s="111">
        <v>0</v>
      </c>
      <c r="AM40" s="112">
        <v>0</v>
      </c>
      <c r="AN40" s="111">
        <v>53</v>
      </c>
      <c r="AO40" s="112">
        <v>96.36363636363636</v>
      </c>
      <c r="AP40" s="111">
        <v>55</v>
      </c>
    </row>
    <row r="41" spans="1:42" ht="15">
      <c r="A41" s="65" t="s">
        <v>369</v>
      </c>
      <c r="B41" s="65" t="s">
        <v>372</v>
      </c>
      <c r="C41" s="66" t="s">
        <v>2943</v>
      </c>
      <c r="D41" s="67">
        <v>4.4</v>
      </c>
      <c r="E41" s="68"/>
      <c r="F41" s="69">
        <v>35</v>
      </c>
      <c r="G41" s="66"/>
      <c r="H41" s="70"/>
      <c r="I41" s="71"/>
      <c r="J41" s="71"/>
      <c r="K41" s="35" t="s">
        <v>66</v>
      </c>
      <c r="L41" s="79">
        <v>41</v>
      </c>
      <c r="M41" s="79"/>
      <c r="N41" s="73"/>
      <c r="O41" s="81" t="s">
        <v>564</v>
      </c>
      <c r="P41" s="81" t="s">
        <v>566</v>
      </c>
      <c r="Q41" s="84" t="s">
        <v>604</v>
      </c>
      <c r="R41" s="81" t="s">
        <v>369</v>
      </c>
      <c r="S41" s="81" t="s">
        <v>882</v>
      </c>
      <c r="T41" s="86" t="str">
        <f>HYPERLINK("http://www.youtube.com/channel/UCerAw4EfTOnYYxLLPZAzMxQ")</f>
        <v>http://www.youtube.com/channel/UCerAw4EfTOnYYxLLPZAzMxQ</v>
      </c>
      <c r="U41" s="81" t="s">
        <v>1043</v>
      </c>
      <c r="V41" s="81" t="s">
        <v>1097</v>
      </c>
      <c r="W41" s="86" t="str">
        <f>HYPERLINK("https://www.youtube.com/watch?v=vp7VXgvVAPg")</f>
        <v>https://www.youtube.com/watch?v=vp7VXgvVAPg</v>
      </c>
      <c r="X41" s="81" t="s">
        <v>1183</v>
      </c>
      <c r="Y41" s="81">
        <v>0</v>
      </c>
      <c r="Z41" s="88">
        <v>43182.54949074074</v>
      </c>
      <c r="AA41" s="88">
        <v>43182.54949074074</v>
      </c>
      <c r="AB41" s="81"/>
      <c r="AC41" s="81"/>
      <c r="AD41" s="84" t="s">
        <v>1239</v>
      </c>
      <c r="AE41" s="82">
        <v>2</v>
      </c>
      <c r="AF41" s="83" t="str">
        <f>REPLACE(INDEX(GroupVertices[Group],MATCH(Edges[[#This Row],[Vertex 1]],GroupVertices[Vertex],0)),1,1,"")</f>
        <v>1</v>
      </c>
      <c r="AG41" s="83" t="str">
        <f>REPLACE(INDEX(GroupVertices[Group],MATCH(Edges[[#This Row],[Vertex 2]],GroupVertices[Vertex],0)),1,1,"")</f>
        <v>1</v>
      </c>
      <c r="AH41" s="111">
        <v>1</v>
      </c>
      <c r="AI41" s="112">
        <v>1.8181818181818181</v>
      </c>
      <c r="AJ41" s="111">
        <v>0</v>
      </c>
      <c r="AK41" s="112">
        <v>0</v>
      </c>
      <c r="AL41" s="111">
        <v>0</v>
      </c>
      <c r="AM41" s="112">
        <v>0</v>
      </c>
      <c r="AN41" s="111">
        <v>54</v>
      </c>
      <c r="AO41" s="112">
        <v>98.18181818181819</v>
      </c>
      <c r="AP41" s="111">
        <v>55</v>
      </c>
    </row>
    <row r="42" spans="1:42" ht="15">
      <c r="A42" s="65" t="s">
        <v>372</v>
      </c>
      <c r="B42" s="65" t="s">
        <v>372</v>
      </c>
      <c r="C42" s="66" t="s">
        <v>2943</v>
      </c>
      <c r="D42" s="67">
        <v>4.4</v>
      </c>
      <c r="E42" s="68"/>
      <c r="F42" s="69">
        <v>35</v>
      </c>
      <c r="G42" s="66"/>
      <c r="H42" s="70"/>
      <c r="I42" s="71"/>
      <c r="J42" s="71"/>
      <c r="K42" s="35" t="s">
        <v>65</v>
      </c>
      <c r="L42" s="79">
        <v>42</v>
      </c>
      <c r="M42" s="79"/>
      <c r="N42" s="73"/>
      <c r="O42" s="81" t="s">
        <v>564</v>
      </c>
      <c r="P42" s="81" t="s">
        <v>566</v>
      </c>
      <c r="Q42" s="84" t="s">
        <v>605</v>
      </c>
      <c r="R42" s="81" t="s">
        <v>372</v>
      </c>
      <c r="S42" s="81" t="s">
        <v>885</v>
      </c>
      <c r="T42" s="86" t="str">
        <f>HYPERLINK("http://www.youtube.com/channel/UCadohWhKjy8YKkiOeKLb_jA")</f>
        <v>http://www.youtube.com/channel/UCadohWhKjy8YKkiOeKLb_jA</v>
      </c>
      <c r="U42" s="81" t="s">
        <v>1043</v>
      </c>
      <c r="V42" s="81" t="s">
        <v>1097</v>
      </c>
      <c r="W42" s="86" t="str">
        <f>HYPERLINK("https://www.youtube.com/watch?v=vp7VXgvVAPg")</f>
        <v>https://www.youtube.com/watch?v=vp7VXgvVAPg</v>
      </c>
      <c r="X42" s="81" t="s">
        <v>1183</v>
      </c>
      <c r="Y42" s="81">
        <v>0</v>
      </c>
      <c r="Z42" s="88">
        <v>43182.7884837963</v>
      </c>
      <c r="AA42" s="88">
        <v>43182.7884837963</v>
      </c>
      <c r="AB42" s="81"/>
      <c r="AC42" s="81"/>
      <c r="AD42" s="84" t="s">
        <v>1239</v>
      </c>
      <c r="AE42" s="82">
        <v>2</v>
      </c>
      <c r="AF42" s="83" t="str">
        <f>REPLACE(INDEX(GroupVertices[Group],MATCH(Edges[[#This Row],[Vertex 1]],GroupVertices[Vertex],0)),1,1,"")</f>
        <v>1</v>
      </c>
      <c r="AG42" s="83" t="str">
        <f>REPLACE(INDEX(GroupVertices[Group],MATCH(Edges[[#This Row],[Vertex 2]],GroupVertices[Vertex],0)),1,1,"")</f>
        <v>1</v>
      </c>
      <c r="AH42" s="111">
        <v>1</v>
      </c>
      <c r="AI42" s="112">
        <v>1.0869565217391304</v>
      </c>
      <c r="AJ42" s="111">
        <v>1</v>
      </c>
      <c r="AK42" s="112">
        <v>1.0869565217391304</v>
      </c>
      <c r="AL42" s="111">
        <v>0</v>
      </c>
      <c r="AM42" s="112">
        <v>0</v>
      </c>
      <c r="AN42" s="111">
        <v>90</v>
      </c>
      <c r="AO42" s="112">
        <v>97.82608695652173</v>
      </c>
      <c r="AP42" s="111">
        <v>92</v>
      </c>
    </row>
    <row r="43" spans="1:42" ht="15">
      <c r="A43" s="65" t="s">
        <v>369</v>
      </c>
      <c r="B43" s="65" t="s">
        <v>372</v>
      </c>
      <c r="C43" s="66" t="s">
        <v>2943</v>
      </c>
      <c r="D43" s="67">
        <v>4.4</v>
      </c>
      <c r="E43" s="68"/>
      <c r="F43" s="69">
        <v>35</v>
      </c>
      <c r="G43" s="66"/>
      <c r="H43" s="70"/>
      <c r="I43" s="71"/>
      <c r="J43" s="71"/>
      <c r="K43" s="35" t="s">
        <v>66</v>
      </c>
      <c r="L43" s="79">
        <v>43</v>
      </c>
      <c r="M43" s="79"/>
      <c r="N43" s="73"/>
      <c r="O43" s="81" t="s">
        <v>564</v>
      </c>
      <c r="P43" s="81" t="s">
        <v>566</v>
      </c>
      <c r="Q43" s="84" t="s">
        <v>606</v>
      </c>
      <c r="R43" s="81" t="s">
        <v>369</v>
      </c>
      <c r="S43" s="81" t="s">
        <v>882</v>
      </c>
      <c r="T43" s="86" t="str">
        <f>HYPERLINK("http://www.youtube.com/channel/UCerAw4EfTOnYYxLLPZAzMxQ")</f>
        <v>http://www.youtube.com/channel/UCerAw4EfTOnYYxLLPZAzMxQ</v>
      </c>
      <c r="U43" s="81" t="s">
        <v>1043</v>
      </c>
      <c r="V43" s="81" t="s">
        <v>1097</v>
      </c>
      <c r="W43" s="86" t="str">
        <f>HYPERLINK("https://www.youtube.com/watch?v=vp7VXgvVAPg")</f>
        <v>https://www.youtube.com/watch?v=vp7VXgvVAPg</v>
      </c>
      <c r="X43" s="81" t="s">
        <v>1183</v>
      </c>
      <c r="Y43" s="81">
        <v>0</v>
      </c>
      <c r="Z43" s="88">
        <v>43185.01813657407</v>
      </c>
      <c r="AA43" s="88">
        <v>43185.01813657407</v>
      </c>
      <c r="AB43" s="81"/>
      <c r="AC43" s="81"/>
      <c r="AD43" s="84" t="s">
        <v>1239</v>
      </c>
      <c r="AE43" s="82">
        <v>2</v>
      </c>
      <c r="AF43" s="83" t="str">
        <f>REPLACE(INDEX(GroupVertices[Group],MATCH(Edges[[#This Row],[Vertex 1]],GroupVertices[Vertex],0)),1,1,"")</f>
        <v>1</v>
      </c>
      <c r="AG43" s="83" t="str">
        <f>REPLACE(INDEX(GroupVertices[Group],MATCH(Edges[[#This Row],[Vertex 2]],GroupVertices[Vertex],0)),1,1,"")</f>
        <v>1</v>
      </c>
      <c r="AH43" s="111">
        <v>1</v>
      </c>
      <c r="AI43" s="112">
        <v>3.8461538461538463</v>
      </c>
      <c r="AJ43" s="111">
        <v>1</v>
      </c>
      <c r="AK43" s="112">
        <v>3.8461538461538463</v>
      </c>
      <c r="AL43" s="111">
        <v>0</v>
      </c>
      <c r="AM43" s="112">
        <v>0</v>
      </c>
      <c r="AN43" s="111">
        <v>24</v>
      </c>
      <c r="AO43" s="112">
        <v>92.3076923076923</v>
      </c>
      <c r="AP43" s="111">
        <v>26</v>
      </c>
    </row>
    <row r="44" spans="1:42" ht="15">
      <c r="A44" s="65" t="s">
        <v>372</v>
      </c>
      <c r="B44" s="65" t="s">
        <v>372</v>
      </c>
      <c r="C44" s="66" t="s">
        <v>2943</v>
      </c>
      <c r="D44" s="67">
        <v>4.4</v>
      </c>
      <c r="E44" s="68"/>
      <c r="F44" s="69">
        <v>35</v>
      </c>
      <c r="G44" s="66"/>
      <c r="H44" s="70"/>
      <c r="I44" s="71"/>
      <c r="J44" s="71"/>
      <c r="K44" s="35" t="s">
        <v>65</v>
      </c>
      <c r="L44" s="79">
        <v>44</v>
      </c>
      <c r="M44" s="79"/>
      <c r="N44" s="73"/>
      <c r="O44" s="81" t="s">
        <v>564</v>
      </c>
      <c r="P44" s="81" t="s">
        <v>566</v>
      </c>
      <c r="Q44" s="84" t="s">
        <v>607</v>
      </c>
      <c r="R44" s="81" t="s">
        <v>372</v>
      </c>
      <c r="S44" s="81" t="s">
        <v>885</v>
      </c>
      <c r="T44" s="86" t="str">
        <f>HYPERLINK("http://www.youtube.com/channel/UCadohWhKjy8YKkiOeKLb_jA")</f>
        <v>http://www.youtube.com/channel/UCadohWhKjy8YKkiOeKLb_jA</v>
      </c>
      <c r="U44" s="81" t="s">
        <v>1043</v>
      </c>
      <c r="V44" s="81" t="s">
        <v>1097</v>
      </c>
      <c r="W44" s="86" t="str">
        <f>HYPERLINK("https://www.youtube.com/watch?v=vp7VXgvVAPg")</f>
        <v>https://www.youtube.com/watch?v=vp7VXgvVAPg</v>
      </c>
      <c r="X44" s="81" t="s">
        <v>1183</v>
      </c>
      <c r="Y44" s="81">
        <v>0</v>
      </c>
      <c r="Z44" s="88">
        <v>43186.86518518518</v>
      </c>
      <c r="AA44" s="88">
        <v>43186.86518518518</v>
      </c>
      <c r="AB44" s="81"/>
      <c r="AC44" s="81"/>
      <c r="AD44" s="84" t="s">
        <v>1239</v>
      </c>
      <c r="AE44" s="82">
        <v>2</v>
      </c>
      <c r="AF44" s="83" t="str">
        <f>REPLACE(INDEX(GroupVertices[Group],MATCH(Edges[[#This Row],[Vertex 1]],GroupVertices[Vertex],0)),1,1,"")</f>
        <v>1</v>
      </c>
      <c r="AG44" s="83" t="str">
        <f>REPLACE(INDEX(GroupVertices[Group],MATCH(Edges[[#This Row],[Vertex 2]],GroupVertices[Vertex],0)),1,1,"")</f>
        <v>1</v>
      </c>
      <c r="AH44" s="111">
        <v>0</v>
      </c>
      <c r="AI44" s="112">
        <v>0</v>
      </c>
      <c r="AJ44" s="111">
        <v>0</v>
      </c>
      <c r="AK44" s="112">
        <v>0</v>
      </c>
      <c r="AL44" s="111">
        <v>0</v>
      </c>
      <c r="AM44" s="112">
        <v>0</v>
      </c>
      <c r="AN44" s="111">
        <v>7</v>
      </c>
      <c r="AO44" s="112">
        <v>100</v>
      </c>
      <c r="AP44" s="111">
        <v>7</v>
      </c>
    </row>
    <row r="45" spans="1:42" ht="15">
      <c r="A45" s="65" t="s">
        <v>372</v>
      </c>
      <c r="B45" s="65" t="s">
        <v>369</v>
      </c>
      <c r="C45" s="66" t="s">
        <v>2942</v>
      </c>
      <c r="D45" s="67">
        <v>3</v>
      </c>
      <c r="E45" s="68"/>
      <c r="F45" s="69">
        <v>40</v>
      </c>
      <c r="G45" s="66"/>
      <c r="H45" s="70"/>
      <c r="I45" s="71"/>
      <c r="J45" s="71"/>
      <c r="K45" s="35" t="s">
        <v>66</v>
      </c>
      <c r="L45" s="79">
        <v>45</v>
      </c>
      <c r="M45" s="79"/>
      <c r="N45" s="73"/>
      <c r="O45" s="81" t="s">
        <v>563</v>
      </c>
      <c r="P45" s="81" t="s">
        <v>325</v>
      </c>
      <c r="Q45" s="84" t="s">
        <v>608</v>
      </c>
      <c r="R45" s="81" t="s">
        <v>372</v>
      </c>
      <c r="S45" s="81" t="s">
        <v>885</v>
      </c>
      <c r="T45" s="86" t="str">
        <f>HYPERLINK("http://www.youtube.com/channel/UCadohWhKjy8YKkiOeKLb_jA")</f>
        <v>http://www.youtube.com/channel/UCadohWhKjy8YKkiOeKLb_jA</v>
      </c>
      <c r="U45" s="81"/>
      <c r="V45" s="81" t="s">
        <v>1097</v>
      </c>
      <c r="W45" s="86" t="str">
        <f>HYPERLINK("https://www.youtube.com/watch?v=vp7VXgvVAPg")</f>
        <v>https://www.youtube.com/watch?v=vp7VXgvVAPg</v>
      </c>
      <c r="X45" s="81" t="s">
        <v>1183</v>
      </c>
      <c r="Y45" s="81">
        <v>0</v>
      </c>
      <c r="Z45" s="88">
        <v>43181.86540509259</v>
      </c>
      <c r="AA45" s="88">
        <v>43181.86540509259</v>
      </c>
      <c r="AB45" s="81"/>
      <c r="AC45" s="81"/>
      <c r="AD45" s="84" t="s">
        <v>1239</v>
      </c>
      <c r="AE45" s="82">
        <v>1</v>
      </c>
      <c r="AF45" s="83" t="str">
        <f>REPLACE(INDEX(GroupVertices[Group],MATCH(Edges[[#This Row],[Vertex 1]],GroupVertices[Vertex],0)),1,1,"")</f>
        <v>1</v>
      </c>
      <c r="AG45" s="83" t="str">
        <f>REPLACE(INDEX(GroupVertices[Group],MATCH(Edges[[#This Row],[Vertex 2]],GroupVertices[Vertex],0)),1,1,"")</f>
        <v>1</v>
      </c>
      <c r="AH45" s="111">
        <v>1</v>
      </c>
      <c r="AI45" s="112">
        <v>2.0408163265306123</v>
      </c>
      <c r="AJ45" s="111">
        <v>0</v>
      </c>
      <c r="AK45" s="112">
        <v>0</v>
      </c>
      <c r="AL45" s="111">
        <v>0</v>
      </c>
      <c r="AM45" s="112">
        <v>0</v>
      </c>
      <c r="AN45" s="111">
        <v>48</v>
      </c>
      <c r="AO45" s="112">
        <v>97.95918367346938</v>
      </c>
      <c r="AP45" s="111">
        <v>49</v>
      </c>
    </row>
    <row r="46" spans="1:42" ht="15">
      <c r="A46" s="65" t="s">
        <v>373</v>
      </c>
      <c r="B46" s="65" t="s">
        <v>536</v>
      </c>
      <c r="C46" s="66" t="s">
        <v>2942</v>
      </c>
      <c r="D46" s="67">
        <v>3</v>
      </c>
      <c r="E46" s="68"/>
      <c r="F46" s="69">
        <v>40</v>
      </c>
      <c r="G46" s="66"/>
      <c r="H46" s="70"/>
      <c r="I46" s="71"/>
      <c r="J46" s="71"/>
      <c r="K46" s="35" t="s">
        <v>65</v>
      </c>
      <c r="L46" s="79">
        <v>46</v>
      </c>
      <c r="M46" s="79"/>
      <c r="N46" s="73"/>
      <c r="O46" s="81" t="s">
        <v>563</v>
      </c>
      <c r="P46" s="81" t="s">
        <v>325</v>
      </c>
      <c r="Q46" s="84" t="s">
        <v>609</v>
      </c>
      <c r="R46" s="81" t="s">
        <v>373</v>
      </c>
      <c r="S46" s="81" t="s">
        <v>886</v>
      </c>
      <c r="T46" s="86" t="str">
        <f>HYPERLINK("http://www.youtube.com/channel/UCRplO5uLNC-QOf4ZxjI6OaA")</f>
        <v>http://www.youtube.com/channel/UCRplO5uLNC-QOf4ZxjI6OaA</v>
      </c>
      <c r="U46" s="81"/>
      <c r="V46" s="81" t="s">
        <v>1098</v>
      </c>
      <c r="W46" s="86" t="str">
        <f>HYPERLINK("https://www.youtube.com/watch?v=hVfI1U7uHR4")</f>
        <v>https://www.youtube.com/watch?v=hVfI1U7uHR4</v>
      </c>
      <c r="X46" s="81" t="s">
        <v>1183</v>
      </c>
      <c r="Y46" s="81">
        <v>0</v>
      </c>
      <c r="Z46" s="88">
        <v>43593.34545138889</v>
      </c>
      <c r="AA46" s="88">
        <v>43593.34545138889</v>
      </c>
      <c r="AB46" s="81"/>
      <c r="AC46" s="81"/>
      <c r="AD46" s="84" t="s">
        <v>1239</v>
      </c>
      <c r="AE46" s="82">
        <v>1</v>
      </c>
      <c r="AF46" s="83" t="str">
        <f>REPLACE(INDEX(GroupVertices[Group],MATCH(Edges[[#This Row],[Vertex 1]],GroupVertices[Vertex],0)),1,1,"")</f>
        <v>13</v>
      </c>
      <c r="AG46" s="83" t="str">
        <f>REPLACE(INDEX(GroupVertices[Group],MATCH(Edges[[#This Row],[Vertex 2]],GroupVertices[Vertex],0)),1,1,"")</f>
        <v>13</v>
      </c>
      <c r="AH46" s="111">
        <v>0</v>
      </c>
      <c r="AI46" s="112">
        <v>0</v>
      </c>
      <c r="AJ46" s="111">
        <v>0</v>
      </c>
      <c r="AK46" s="112">
        <v>0</v>
      </c>
      <c r="AL46" s="111">
        <v>0</v>
      </c>
      <c r="AM46" s="112">
        <v>0</v>
      </c>
      <c r="AN46" s="111">
        <v>7</v>
      </c>
      <c r="AO46" s="112">
        <v>100</v>
      </c>
      <c r="AP46" s="111">
        <v>7</v>
      </c>
    </row>
    <row r="47" spans="1:42" ht="15">
      <c r="A47" s="65" t="s">
        <v>374</v>
      </c>
      <c r="B47" s="65" t="s">
        <v>536</v>
      </c>
      <c r="C47" s="66" t="s">
        <v>2942</v>
      </c>
      <c r="D47" s="67">
        <v>3</v>
      </c>
      <c r="E47" s="68"/>
      <c r="F47" s="69">
        <v>40</v>
      </c>
      <c r="G47" s="66"/>
      <c r="H47" s="70"/>
      <c r="I47" s="71"/>
      <c r="J47" s="71"/>
      <c r="K47" s="35" t="s">
        <v>65</v>
      </c>
      <c r="L47" s="79">
        <v>47</v>
      </c>
      <c r="M47" s="79"/>
      <c r="N47" s="73"/>
      <c r="O47" s="81" t="s">
        <v>563</v>
      </c>
      <c r="P47" s="81" t="s">
        <v>325</v>
      </c>
      <c r="Q47" s="84" t="s">
        <v>610</v>
      </c>
      <c r="R47" s="81" t="s">
        <v>374</v>
      </c>
      <c r="S47" s="81" t="s">
        <v>887</v>
      </c>
      <c r="T47" s="86" t="str">
        <f>HYPERLINK("http://www.youtube.com/channel/UCRwYXX2La_JD4KoA6hZqIYw")</f>
        <v>http://www.youtube.com/channel/UCRwYXX2La_JD4KoA6hZqIYw</v>
      </c>
      <c r="U47" s="81"/>
      <c r="V47" s="81" t="s">
        <v>1098</v>
      </c>
      <c r="W47" s="86" t="str">
        <f>HYPERLINK("https://www.youtube.com/watch?v=hVfI1U7uHR4")</f>
        <v>https://www.youtube.com/watch?v=hVfI1U7uHR4</v>
      </c>
      <c r="X47" s="81" t="s">
        <v>1183</v>
      </c>
      <c r="Y47" s="81">
        <v>0</v>
      </c>
      <c r="Z47" s="88">
        <v>43759.2022337963</v>
      </c>
      <c r="AA47" s="88">
        <v>43759.2022337963</v>
      </c>
      <c r="AB47" s="81"/>
      <c r="AC47" s="81"/>
      <c r="AD47" s="84" t="s">
        <v>1239</v>
      </c>
      <c r="AE47" s="82">
        <v>1</v>
      </c>
      <c r="AF47" s="83" t="str">
        <f>REPLACE(INDEX(GroupVertices[Group],MATCH(Edges[[#This Row],[Vertex 1]],GroupVertices[Vertex],0)),1,1,"")</f>
        <v>13</v>
      </c>
      <c r="AG47" s="83" t="str">
        <f>REPLACE(INDEX(GroupVertices[Group],MATCH(Edges[[#This Row],[Vertex 2]],GroupVertices[Vertex],0)),1,1,"")</f>
        <v>13</v>
      </c>
      <c r="AH47" s="111">
        <v>0</v>
      </c>
      <c r="AI47" s="112">
        <v>0</v>
      </c>
      <c r="AJ47" s="111">
        <v>0</v>
      </c>
      <c r="AK47" s="112">
        <v>0</v>
      </c>
      <c r="AL47" s="111">
        <v>0</v>
      </c>
      <c r="AM47" s="112">
        <v>0</v>
      </c>
      <c r="AN47" s="111">
        <v>2</v>
      </c>
      <c r="AO47" s="112">
        <v>100</v>
      </c>
      <c r="AP47" s="111">
        <v>2</v>
      </c>
    </row>
    <row r="48" spans="1:42" ht="15">
      <c r="A48" s="65" t="s">
        <v>375</v>
      </c>
      <c r="B48" s="65" t="s">
        <v>536</v>
      </c>
      <c r="C48" s="66" t="s">
        <v>2942</v>
      </c>
      <c r="D48" s="67">
        <v>3</v>
      </c>
      <c r="E48" s="68"/>
      <c r="F48" s="69">
        <v>40</v>
      </c>
      <c r="G48" s="66"/>
      <c r="H48" s="70"/>
      <c r="I48" s="71"/>
      <c r="J48" s="71"/>
      <c r="K48" s="35" t="s">
        <v>65</v>
      </c>
      <c r="L48" s="79">
        <v>48</v>
      </c>
      <c r="M48" s="79"/>
      <c r="N48" s="73"/>
      <c r="O48" s="81" t="s">
        <v>563</v>
      </c>
      <c r="P48" s="81" t="s">
        <v>325</v>
      </c>
      <c r="Q48" s="84" t="s">
        <v>611</v>
      </c>
      <c r="R48" s="81" t="s">
        <v>375</v>
      </c>
      <c r="S48" s="81" t="s">
        <v>888</v>
      </c>
      <c r="T48" s="86" t="str">
        <f>HYPERLINK("http://www.youtube.com/channel/UCOosNpm4X6UrnhAUxCEKY8A")</f>
        <v>http://www.youtube.com/channel/UCOosNpm4X6UrnhAUxCEKY8A</v>
      </c>
      <c r="U48" s="81"/>
      <c r="V48" s="81" t="s">
        <v>1098</v>
      </c>
      <c r="W48" s="86" t="str">
        <f>HYPERLINK("https://www.youtube.com/watch?v=hVfI1U7uHR4")</f>
        <v>https://www.youtube.com/watch?v=hVfI1U7uHR4</v>
      </c>
      <c r="X48" s="81" t="s">
        <v>1183</v>
      </c>
      <c r="Y48" s="81">
        <v>1</v>
      </c>
      <c r="Z48" s="88">
        <v>44466.543287037035</v>
      </c>
      <c r="AA48" s="88">
        <v>44466.543287037035</v>
      </c>
      <c r="AB48" s="81"/>
      <c r="AC48" s="81"/>
      <c r="AD48" s="84" t="s">
        <v>1239</v>
      </c>
      <c r="AE48" s="82">
        <v>1</v>
      </c>
      <c r="AF48" s="83" t="str">
        <f>REPLACE(INDEX(GroupVertices[Group],MATCH(Edges[[#This Row],[Vertex 1]],GroupVertices[Vertex],0)),1,1,"")</f>
        <v>13</v>
      </c>
      <c r="AG48" s="83" t="str">
        <f>REPLACE(INDEX(GroupVertices[Group],MATCH(Edges[[#This Row],[Vertex 2]],GroupVertices[Vertex],0)),1,1,"")</f>
        <v>13</v>
      </c>
      <c r="AH48" s="111">
        <v>0</v>
      </c>
      <c r="AI48" s="112">
        <v>0</v>
      </c>
      <c r="AJ48" s="111">
        <v>0</v>
      </c>
      <c r="AK48" s="112">
        <v>0</v>
      </c>
      <c r="AL48" s="111">
        <v>0</v>
      </c>
      <c r="AM48" s="112">
        <v>0</v>
      </c>
      <c r="AN48" s="111">
        <v>9</v>
      </c>
      <c r="AO48" s="112">
        <v>100</v>
      </c>
      <c r="AP48" s="111">
        <v>9</v>
      </c>
    </row>
    <row r="49" spans="1:42" ht="15">
      <c r="A49" s="65" t="s">
        <v>376</v>
      </c>
      <c r="B49" s="65" t="s">
        <v>369</v>
      </c>
      <c r="C49" s="66" t="s">
        <v>2942</v>
      </c>
      <c r="D49" s="67">
        <v>3</v>
      </c>
      <c r="E49" s="68"/>
      <c r="F49" s="69">
        <v>40</v>
      </c>
      <c r="G49" s="66"/>
      <c r="H49" s="70"/>
      <c r="I49" s="71"/>
      <c r="J49" s="71"/>
      <c r="K49" s="35" t="s">
        <v>65</v>
      </c>
      <c r="L49" s="79">
        <v>49</v>
      </c>
      <c r="M49" s="79"/>
      <c r="N49" s="73"/>
      <c r="O49" s="81" t="s">
        <v>563</v>
      </c>
      <c r="P49" s="81" t="s">
        <v>325</v>
      </c>
      <c r="Q49" s="84" t="s">
        <v>612</v>
      </c>
      <c r="R49" s="81" t="s">
        <v>376</v>
      </c>
      <c r="S49" s="81" t="s">
        <v>889</v>
      </c>
      <c r="T49" s="86" t="str">
        <f>HYPERLINK("http://www.youtube.com/channel/UCLIhyce5kxvdas1PvQVkSkg")</f>
        <v>http://www.youtube.com/channel/UCLIhyce5kxvdas1PvQVkSkg</v>
      </c>
      <c r="U49" s="81"/>
      <c r="V49" s="81" t="s">
        <v>1099</v>
      </c>
      <c r="W49" s="86" t="str">
        <f>HYPERLINK("https://www.youtube.com/watch?v=bCENPBWjEaE")</f>
        <v>https://www.youtube.com/watch?v=bCENPBWjEaE</v>
      </c>
      <c r="X49" s="81" t="s">
        <v>1183</v>
      </c>
      <c r="Y49" s="81">
        <v>0</v>
      </c>
      <c r="Z49" s="88">
        <v>44311.663506944446</v>
      </c>
      <c r="AA49" s="88">
        <v>44311.663506944446</v>
      </c>
      <c r="AB49" s="81"/>
      <c r="AC49" s="81"/>
      <c r="AD49" s="84" t="s">
        <v>1239</v>
      </c>
      <c r="AE49" s="82">
        <v>1</v>
      </c>
      <c r="AF49" s="83" t="str">
        <f>REPLACE(INDEX(GroupVertices[Group],MATCH(Edges[[#This Row],[Vertex 1]],GroupVertices[Vertex],0)),1,1,"")</f>
        <v>1</v>
      </c>
      <c r="AG49" s="83" t="str">
        <f>REPLACE(INDEX(GroupVertices[Group],MATCH(Edges[[#This Row],[Vertex 2]],GroupVertices[Vertex],0)),1,1,"")</f>
        <v>1</v>
      </c>
      <c r="AH49" s="111">
        <v>3</v>
      </c>
      <c r="AI49" s="112">
        <v>4.054054054054054</v>
      </c>
      <c r="AJ49" s="111">
        <v>1</v>
      </c>
      <c r="AK49" s="112">
        <v>1.3513513513513513</v>
      </c>
      <c r="AL49" s="111">
        <v>0</v>
      </c>
      <c r="AM49" s="112">
        <v>0</v>
      </c>
      <c r="AN49" s="111">
        <v>70</v>
      </c>
      <c r="AO49" s="112">
        <v>94.5945945945946</v>
      </c>
      <c r="AP49" s="111">
        <v>74</v>
      </c>
    </row>
    <row r="50" spans="1:42" ht="15">
      <c r="A50" s="65" t="s">
        <v>377</v>
      </c>
      <c r="B50" s="65" t="s">
        <v>369</v>
      </c>
      <c r="C50" s="66" t="s">
        <v>2943</v>
      </c>
      <c r="D50" s="67">
        <v>4.4</v>
      </c>
      <c r="E50" s="68"/>
      <c r="F50" s="69">
        <v>35</v>
      </c>
      <c r="G50" s="66"/>
      <c r="H50" s="70"/>
      <c r="I50" s="71"/>
      <c r="J50" s="71"/>
      <c r="K50" s="35" t="s">
        <v>66</v>
      </c>
      <c r="L50" s="79">
        <v>50</v>
      </c>
      <c r="M50" s="79"/>
      <c r="N50" s="73"/>
      <c r="O50" s="81" t="s">
        <v>563</v>
      </c>
      <c r="P50" s="81" t="s">
        <v>325</v>
      </c>
      <c r="Q50" s="84" t="s">
        <v>613</v>
      </c>
      <c r="R50" s="81" t="s">
        <v>377</v>
      </c>
      <c r="S50" s="81" t="s">
        <v>890</v>
      </c>
      <c r="T50" s="86" t="str">
        <f>HYPERLINK("http://www.youtube.com/channel/UCOAzGG0Pm_MiO-SQ2Dc-Wdg")</f>
        <v>http://www.youtube.com/channel/UCOAzGG0Pm_MiO-SQ2Dc-Wdg</v>
      </c>
      <c r="U50" s="81"/>
      <c r="V50" s="81" t="s">
        <v>1099</v>
      </c>
      <c r="W50" s="86" t="str">
        <f>HYPERLINK("https://www.youtube.com/watch?v=bCENPBWjEaE")</f>
        <v>https://www.youtube.com/watch?v=bCENPBWjEaE</v>
      </c>
      <c r="X50" s="81" t="s">
        <v>1183</v>
      </c>
      <c r="Y50" s="81">
        <v>0</v>
      </c>
      <c r="Z50" s="88">
        <v>44322.91825231481</v>
      </c>
      <c r="AA50" s="88">
        <v>44322.91825231481</v>
      </c>
      <c r="AB50" s="81"/>
      <c r="AC50" s="81"/>
      <c r="AD50" s="84" t="s">
        <v>1239</v>
      </c>
      <c r="AE50" s="82">
        <v>2</v>
      </c>
      <c r="AF50" s="83" t="str">
        <f>REPLACE(INDEX(GroupVertices[Group],MATCH(Edges[[#This Row],[Vertex 1]],GroupVertices[Vertex],0)),1,1,"")</f>
        <v>1</v>
      </c>
      <c r="AG50" s="83" t="str">
        <f>REPLACE(INDEX(GroupVertices[Group],MATCH(Edges[[#This Row],[Vertex 2]],GroupVertices[Vertex],0)),1,1,"")</f>
        <v>1</v>
      </c>
      <c r="AH50" s="111">
        <v>1</v>
      </c>
      <c r="AI50" s="112">
        <v>3.5714285714285716</v>
      </c>
      <c r="AJ50" s="111">
        <v>0</v>
      </c>
      <c r="AK50" s="112">
        <v>0</v>
      </c>
      <c r="AL50" s="111">
        <v>0</v>
      </c>
      <c r="AM50" s="112">
        <v>0</v>
      </c>
      <c r="AN50" s="111">
        <v>27</v>
      </c>
      <c r="AO50" s="112">
        <v>96.42857142857143</v>
      </c>
      <c r="AP50" s="111">
        <v>28</v>
      </c>
    </row>
    <row r="51" spans="1:42" ht="15">
      <c r="A51" s="65" t="s">
        <v>369</v>
      </c>
      <c r="B51" s="65" t="s">
        <v>377</v>
      </c>
      <c r="C51" s="66" t="s">
        <v>2942</v>
      </c>
      <c r="D51" s="67">
        <v>3</v>
      </c>
      <c r="E51" s="68"/>
      <c r="F51" s="69">
        <v>40</v>
      </c>
      <c r="G51" s="66"/>
      <c r="H51" s="70"/>
      <c r="I51" s="71"/>
      <c r="J51" s="71"/>
      <c r="K51" s="35" t="s">
        <v>66</v>
      </c>
      <c r="L51" s="79">
        <v>51</v>
      </c>
      <c r="M51" s="79"/>
      <c r="N51" s="73"/>
      <c r="O51" s="81" t="s">
        <v>564</v>
      </c>
      <c r="P51" s="81" t="s">
        <v>566</v>
      </c>
      <c r="Q51" s="84" t="s">
        <v>614</v>
      </c>
      <c r="R51" s="81" t="s">
        <v>369</v>
      </c>
      <c r="S51" s="81" t="s">
        <v>882</v>
      </c>
      <c r="T51" s="86" t="str">
        <f>HYPERLINK("http://www.youtube.com/channel/UCerAw4EfTOnYYxLLPZAzMxQ")</f>
        <v>http://www.youtube.com/channel/UCerAw4EfTOnYYxLLPZAzMxQ</v>
      </c>
      <c r="U51" s="81" t="s">
        <v>1044</v>
      </c>
      <c r="V51" s="81" t="s">
        <v>1099</v>
      </c>
      <c r="W51" s="86" t="str">
        <f>HYPERLINK("https://www.youtube.com/watch?v=bCENPBWjEaE")</f>
        <v>https://www.youtube.com/watch?v=bCENPBWjEaE</v>
      </c>
      <c r="X51" s="81" t="s">
        <v>1183</v>
      </c>
      <c r="Y51" s="81">
        <v>0</v>
      </c>
      <c r="Z51" s="88">
        <v>44323.706400462965</v>
      </c>
      <c r="AA51" s="88">
        <v>44323.706400462965</v>
      </c>
      <c r="AB51" s="81" t="s">
        <v>1189</v>
      </c>
      <c r="AC51" s="81" t="s">
        <v>1223</v>
      </c>
      <c r="AD51" s="84" t="s">
        <v>1239</v>
      </c>
      <c r="AE51" s="82">
        <v>1</v>
      </c>
      <c r="AF51" s="83" t="str">
        <f>REPLACE(INDEX(GroupVertices[Group],MATCH(Edges[[#This Row],[Vertex 1]],GroupVertices[Vertex],0)),1,1,"")</f>
        <v>1</v>
      </c>
      <c r="AG51" s="83" t="str">
        <f>REPLACE(INDEX(GroupVertices[Group],MATCH(Edges[[#This Row],[Vertex 2]],GroupVertices[Vertex],0)),1,1,"")</f>
        <v>1</v>
      </c>
      <c r="AH51" s="111">
        <v>0</v>
      </c>
      <c r="AI51" s="112">
        <v>0</v>
      </c>
      <c r="AJ51" s="111">
        <v>0</v>
      </c>
      <c r="AK51" s="112">
        <v>0</v>
      </c>
      <c r="AL51" s="111">
        <v>0</v>
      </c>
      <c r="AM51" s="112">
        <v>0</v>
      </c>
      <c r="AN51" s="111">
        <v>23</v>
      </c>
      <c r="AO51" s="112">
        <v>100</v>
      </c>
      <c r="AP51" s="111">
        <v>23</v>
      </c>
    </row>
    <row r="52" spans="1:42" ht="15">
      <c r="A52" s="65" t="s">
        <v>377</v>
      </c>
      <c r="B52" s="65" t="s">
        <v>369</v>
      </c>
      <c r="C52" s="66" t="s">
        <v>2943</v>
      </c>
      <c r="D52" s="67">
        <v>4.4</v>
      </c>
      <c r="E52" s="68"/>
      <c r="F52" s="69">
        <v>35</v>
      </c>
      <c r="G52" s="66"/>
      <c r="H52" s="70"/>
      <c r="I52" s="71"/>
      <c r="J52" s="71"/>
      <c r="K52" s="35" t="s">
        <v>66</v>
      </c>
      <c r="L52" s="79">
        <v>52</v>
      </c>
      <c r="M52" s="79"/>
      <c r="N52" s="73"/>
      <c r="O52" s="81" t="s">
        <v>563</v>
      </c>
      <c r="P52" s="81" t="s">
        <v>325</v>
      </c>
      <c r="Q52" s="84" t="s">
        <v>613</v>
      </c>
      <c r="R52" s="81" t="s">
        <v>377</v>
      </c>
      <c r="S52" s="81" t="s">
        <v>890</v>
      </c>
      <c r="T52" s="86" t="str">
        <f>HYPERLINK("http://www.youtube.com/channel/UCOAzGG0Pm_MiO-SQ2Dc-Wdg")</f>
        <v>http://www.youtube.com/channel/UCOAzGG0Pm_MiO-SQ2Dc-Wdg</v>
      </c>
      <c r="U52" s="81"/>
      <c r="V52" s="81" t="s">
        <v>1099</v>
      </c>
      <c r="W52" s="86" t="str">
        <f>HYPERLINK("https://www.youtube.com/watch?v=bCENPBWjEaE")</f>
        <v>https://www.youtube.com/watch?v=bCENPBWjEaE</v>
      </c>
      <c r="X52" s="81" t="s">
        <v>1183</v>
      </c>
      <c r="Y52" s="81">
        <v>0</v>
      </c>
      <c r="Z52" s="88">
        <v>44322.91892361111</v>
      </c>
      <c r="AA52" s="88">
        <v>44322.91892361111</v>
      </c>
      <c r="AB52" s="81"/>
      <c r="AC52" s="81"/>
      <c r="AD52" s="84" t="s">
        <v>1239</v>
      </c>
      <c r="AE52" s="82">
        <v>2</v>
      </c>
      <c r="AF52" s="83" t="str">
        <f>REPLACE(INDEX(GroupVertices[Group],MATCH(Edges[[#This Row],[Vertex 1]],GroupVertices[Vertex],0)),1,1,"")</f>
        <v>1</v>
      </c>
      <c r="AG52" s="83" t="str">
        <f>REPLACE(INDEX(GroupVertices[Group],MATCH(Edges[[#This Row],[Vertex 2]],GroupVertices[Vertex],0)),1,1,"")</f>
        <v>1</v>
      </c>
      <c r="AH52" s="111">
        <v>1</v>
      </c>
      <c r="AI52" s="112">
        <v>3.5714285714285716</v>
      </c>
      <c r="AJ52" s="111">
        <v>0</v>
      </c>
      <c r="AK52" s="112">
        <v>0</v>
      </c>
      <c r="AL52" s="111">
        <v>0</v>
      </c>
      <c r="AM52" s="112">
        <v>0</v>
      </c>
      <c r="AN52" s="111">
        <v>27</v>
      </c>
      <c r="AO52" s="112">
        <v>96.42857142857143</v>
      </c>
      <c r="AP52" s="111">
        <v>28</v>
      </c>
    </row>
    <row r="53" spans="1:42" ht="15">
      <c r="A53" s="65" t="s">
        <v>378</v>
      </c>
      <c r="B53" s="65" t="s">
        <v>369</v>
      </c>
      <c r="C53" s="66" t="s">
        <v>2942</v>
      </c>
      <c r="D53" s="67">
        <v>3</v>
      </c>
      <c r="E53" s="68"/>
      <c r="F53" s="69">
        <v>40</v>
      </c>
      <c r="G53" s="66"/>
      <c r="H53" s="70"/>
      <c r="I53" s="71"/>
      <c r="J53" s="71"/>
      <c r="K53" s="35" t="s">
        <v>65</v>
      </c>
      <c r="L53" s="79">
        <v>53</v>
      </c>
      <c r="M53" s="79"/>
      <c r="N53" s="73"/>
      <c r="O53" s="81" t="s">
        <v>563</v>
      </c>
      <c r="P53" s="81" t="s">
        <v>325</v>
      </c>
      <c r="Q53" s="84" t="s">
        <v>615</v>
      </c>
      <c r="R53" s="81" t="s">
        <v>378</v>
      </c>
      <c r="S53" s="81" t="s">
        <v>891</v>
      </c>
      <c r="T53" s="86" t="str">
        <f>HYPERLINK("http://www.youtube.com/channel/UCuh2m_8m5pUxe9NMlGxQ1dQ")</f>
        <v>http://www.youtube.com/channel/UCuh2m_8m5pUxe9NMlGxQ1dQ</v>
      </c>
      <c r="U53" s="81"/>
      <c r="V53" s="81" t="s">
        <v>1099</v>
      </c>
      <c r="W53" s="86" t="str">
        <f>HYPERLINK("https://www.youtube.com/watch?v=bCENPBWjEaE")</f>
        <v>https://www.youtube.com/watch?v=bCENPBWjEaE</v>
      </c>
      <c r="X53" s="81" t="s">
        <v>1183</v>
      </c>
      <c r="Y53" s="81">
        <v>0</v>
      </c>
      <c r="Z53" s="88">
        <v>44347.91767361111</v>
      </c>
      <c r="AA53" s="88">
        <v>44347.91767361111</v>
      </c>
      <c r="AB53" s="81"/>
      <c r="AC53" s="81"/>
      <c r="AD53" s="84" t="s">
        <v>1239</v>
      </c>
      <c r="AE53" s="82">
        <v>1</v>
      </c>
      <c r="AF53" s="83" t="str">
        <f>REPLACE(INDEX(GroupVertices[Group],MATCH(Edges[[#This Row],[Vertex 1]],GroupVertices[Vertex],0)),1,1,"")</f>
        <v>1</v>
      </c>
      <c r="AG53" s="83" t="str">
        <f>REPLACE(INDEX(GroupVertices[Group],MATCH(Edges[[#This Row],[Vertex 2]],GroupVertices[Vertex],0)),1,1,"")</f>
        <v>1</v>
      </c>
      <c r="AH53" s="111">
        <v>2</v>
      </c>
      <c r="AI53" s="112">
        <v>16.666666666666668</v>
      </c>
      <c r="AJ53" s="111">
        <v>0</v>
      </c>
      <c r="AK53" s="112">
        <v>0</v>
      </c>
      <c r="AL53" s="111">
        <v>0</v>
      </c>
      <c r="AM53" s="112">
        <v>0</v>
      </c>
      <c r="AN53" s="111">
        <v>10</v>
      </c>
      <c r="AO53" s="112">
        <v>83.33333333333333</v>
      </c>
      <c r="AP53" s="111">
        <v>12</v>
      </c>
    </row>
    <row r="54" spans="1:42" ht="15">
      <c r="A54" s="65" t="s">
        <v>369</v>
      </c>
      <c r="B54" s="65" t="s">
        <v>379</v>
      </c>
      <c r="C54" s="66" t="s">
        <v>2942</v>
      </c>
      <c r="D54" s="67">
        <v>3</v>
      </c>
      <c r="E54" s="68"/>
      <c r="F54" s="69">
        <v>40</v>
      </c>
      <c r="G54" s="66"/>
      <c r="H54" s="70"/>
      <c r="I54" s="71"/>
      <c r="J54" s="71"/>
      <c r="K54" s="35" t="s">
        <v>66</v>
      </c>
      <c r="L54" s="79">
        <v>54</v>
      </c>
      <c r="M54" s="79"/>
      <c r="N54" s="73"/>
      <c r="O54" s="81" t="s">
        <v>564</v>
      </c>
      <c r="P54" s="81" t="s">
        <v>566</v>
      </c>
      <c r="Q54" s="84" t="s">
        <v>616</v>
      </c>
      <c r="R54" s="81" t="s">
        <v>369</v>
      </c>
      <c r="S54" s="81" t="s">
        <v>882</v>
      </c>
      <c r="T54" s="86" t="str">
        <f>HYPERLINK("http://www.youtube.com/channel/UCerAw4EfTOnYYxLLPZAzMxQ")</f>
        <v>http://www.youtube.com/channel/UCerAw4EfTOnYYxLLPZAzMxQ</v>
      </c>
      <c r="U54" s="81" t="s">
        <v>1045</v>
      </c>
      <c r="V54" s="81" t="s">
        <v>1099</v>
      </c>
      <c r="W54" s="86" t="str">
        <f>HYPERLINK("https://www.youtube.com/watch?v=bCENPBWjEaE")</f>
        <v>https://www.youtube.com/watch?v=bCENPBWjEaE</v>
      </c>
      <c r="X54" s="81" t="s">
        <v>1183</v>
      </c>
      <c r="Y54" s="81">
        <v>1</v>
      </c>
      <c r="Z54" s="88">
        <v>44522.57564814815</v>
      </c>
      <c r="AA54" s="88">
        <v>44522.57564814815</v>
      </c>
      <c r="AB54" s="81" t="s">
        <v>1190</v>
      </c>
      <c r="AC54" s="81" t="s">
        <v>1224</v>
      </c>
      <c r="AD54" s="84" t="s">
        <v>1239</v>
      </c>
      <c r="AE54" s="82">
        <v>1</v>
      </c>
      <c r="AF54" s="83" t="str">
        <f>REPLACE(INDEX(GroupVertices[Group],MATCH(Edges[[#This Row],[Vertex 1]],GroupVertices[Vertex],0)),1,1,"")</f>
        <v>1</v>
      </c>
      <c r="AG54" s="83" t="str">
        <f>REPLACE(INDEX(GroupVertices[Group],MATCH(Edges[[#This Row],[Vertex 2]],GroupVertices[Vertex],0)),1,1,"")</f>
        <v>1</v>
      </c>
      <c r="AH54" s="111">
        <v>4</v>
      </c>
      <c r="AI54" s="112">
        <v>3.053435114503817</v>
      </c>
      <c r="AJ54" s="111">
        <v>1</v>
      </c>
      <c r="AK54" s="112">
        <v>0.7633587786259542</v>
      </c>
      <c r="AL54" s="111">
        <v>0</v>
      </c>
      <c r="AM54" s="112">
        <v>0</v>
      </c>
      <c r="AN54" s="111">
        <v>126</v>
      </c>
      <c r="AO54" s="112">
        <v>96.18320610687023</v>
      </c>
      <c r="AP54" s="111">
        <v>131</v>
      </c>
    </row>
    <row r="55" spans="1:42" ht="15">
      <c r="A55" s="65" t="s">
        <v>379</v>
      </c>
      <c r="B55" s="65" t="s">
        <v>369</v>
      </c>
      <c r="C55" s="66" t="s">
        <v>2942</v>
      </c>
      <c r="D55" s="67">
        <v>3</v>
      </c>
      <c r="E55" s="68"/>
      <c r="F55" s="69">
        <v>40</v>
      </c>
      <c r="G55" s="66"/>
      <c r="H55" s="70"/>
      <c r="I55" s="71"/>
      <c r="J55" s="71"/>
      <c r="K55" s="35" t="s">
        <v>66</v>
      </c>
      <c r="L55" s="79">
        <v>55</v>
      </c>
      <c r="M55" s="79"/>
      <c r="N55" s="73"/>
      <c r="O55" s="81" t="s">
        <v>563</v>
      </c>
      <c r="P55" s="81" t="s">
        <v>325</v>
      </c>
      <c r="Q55" s="84" t="s">
        <v>617</v>
      </c>
      <c r="R55" s="81" t="s">
        <v>379</v>
      </c>
      <c r="S55" s="81" t="s">
        <v>892</v>
      </c>
      <c r="T55" s="86" t="str">
        <f>HYPERLINK("http://www.youtube.com/channel/UC9LLQRE_1OPkWUCda2b_kmg")</f>
        <v>http://www.youtube.com/channel/UC9LLQRE_1OPkWUCda2b_kmg</v>
      </c>
      <c r="U55" s="81"/>
      <c r="V55" s="81" t="s">
        <v>1099</v>
      </c>
      <c r="W55" s="86" t="str">
        <f>HYPERLINK("https://www.youtube.com/watch?v=bCENPBWjEaE")</f>
        <v>https://www.youtube.com/watch?v=bCENPBWjEaE</v>
      </c>
      <c r="X55" s="81" t="s">
        <v>1183</v>
      </c>
      <c r="Y55" s="81">
        <v>0</v>
      </c>
      <c r="Z55" s="88">
        <v>44521.056180555555</v>
      </c>
      <c r="AA55" s="88">
        <v>44521.056180555555</v>
      </c>
      <c r="AB55" s="81"/>
      <c r="AC55" s="81"/>
      <c r="AD55" s="84" t="s">
        <v>1239</v>
      </c>
      <c r="AE55" s="82">
        <v>1</v>
      </c>
      <c r="AF55" s="83" t="str">
        <f>REPLACE(INDEX(GroupVertices[Group],MATCH(Edges[[#This Row],[Vertex 1]],GroupVertices[Vertex],0)),1,1,"")</f>
        <v>1</v>
      </c>
      <c r="AG55" s="83" t="str">
        <f>REPLACE(INDEX(GroupVertices[Group],MATCH(Edges[[#This Row],[Vertex 2]],GroupVertices[Vertex],0)),1,1,"")</f>
        <v>1</v>
      </c>
      <c r="AH55" s="111">
        <v>1</v>
      </c>
      <c r="AI55" s="112">
        <v>1.3513513513513513</v>
      </c>
      <c r="AJ55" s="111">
        <v>8</v>
      </c>
      <c r="AK55" s="112">
        <v>10.81081081081081</v>
      </c>
      <c r="AL55" s="111">
        <v>0</v>
      </c>
      <c r="AM55" s="112">
        <v>0</v>
      </c>
      <c r="AN55" s="111">
        <v>65</v>
      </c>
      <c r="AO55" s="112">
        <v>87.83783783783784</v>
      </c>
      <c r="AP55" s="111">
        <v>74</v>
      </c>
    </row>
    <row r="56" spans="1:42" ht="15">
      <c r="A56" s="65" t="s">
        <v>380</v>
      </c>
      <c r="B56" s="65" t="s">
        <v>542</v>
      </c>
      <c r="C56" s="66" t="s">
        <v>2942</v>
      </c>
      <c r="D56" s="67">
        <v>3</v>
      </c>
      <c r="E56" s="68"/>
      <c r="F56" s="69">
        <v>40</v>
      </c>
      <c r="G56" s="66"/>
      <c r="H56" s="70"/>
      <c r="I56" s="71"/>
      <c r="J56" s="71"/>
      <c r="K56" s="35" t="s">
        <v>65</v>
      </c>
      <c r="L56" s="79">
        <v>56</v>
      </c>
      <c r="M56" s="79"/>
      <c r="N56" s="73"/>
      <c r="O56" s="81" t="s">
        <v>563</v>
      </c>
      <c r="P56" s="81" t="s">
        <v>325</v>
      </c>
      <c r="Q56" s="84" t="s">
        <v>618</v>
      </c>
      <c r="R56" s="81" t="s">
        <v>380</v>
      </c>
      <c r="S56" s="81" t="s">
        <v>893</v>
      </c>
      <c r="T56" s="86" t="str">
        <f>HYPERLINK("http://www.youtube.com/channel/UC2AjGU-bTVnwnKI40ucluew")</f>
        <v>http://www.youtube.com/channel/UC2AjGU-bTVnwnKI40ucluew</v>
      </c>
      <c r="U56" s="81"/>
      <c r="V56" s="81" t="s">
        <v>1100</v>
      </c>
      <c r="W56" s="86" t="str">
        <f>HYPERLINK("https://www.youtube.com/watch?v=x9IzmOWAlnA")</f>
        <v>https://www.youtube.com/watch?v=x9IzmOWAlnA</v>
      </c>
      <c r="X56" s="81" t="s">
        <v>1183</v>
      </c>
      <c r="Y56" s="81">
        <v>0</v>
      </c>
      <c r="Z56" s="88">
        <v>42796.66193287037</v>
      </c>
      <c r="AA56" s="88">
        <v>42796.66193287037</v>
      </c>
      <c r="AB56" s="81"/>
      <c r="AC56" s="81"/>
      <c r="AD56" s="84" t="s">
        <v>1239</v>
      </c>
      <c r="AE56" s="82">
        <v>1</v>
      </c>
      <c r="AF56" s="83" t="str">
        <f>REPLACE(INDEX(GroupVertices[Group],MATCH(Edges[[#This Row],[Vertex 1]],GroupVertices[Vertex],0)),1,1,"")</f>
        <v>21</v>
      </c>
      <c r="AG56" s="83" t="str">
        <f>REPLACE(INDEX(GroupVertices[Group],MATCH(Edges[[#This Row],[Vertex 2]],GroupVertices[Vertex],0)),1,1,"")</f>
        <v>21</v>
      </c>
      <c r="AH56" s="111">
        <v>0</v>
      </c>
      <c r="AI56" s="112">
        <v>0</v>
      </c>
      <c r="AJ56" s="111">
        <v>0</v>
      </c>
      <c r="AK56" s="112">
        <v>0</v>
      </c>
      <c r="AL56" s="111">
        <v>0</v>
      </c>
      <c r="AM56" s="112">
        <v>0</v>
      </c>
      <c r="AN56" s="111">
        <v>31</v>
      </c>
      <c r="AO56" s="112">
        <v>100</v>
      </c>
      <c r="AP56" s="111">
        <v>31</v>
      </c>
    </row>
    <row r="57" spans="1:42" ht="15">
      <c r="A57" s="65" t="s">
        <v>381</v>
      </c>
      <c r="B57" s="65" t="s">
        <v>382</v>
      </c>
      <c r="C57" s="66" t="s">
        <v>2942</v>
      </c>
      <c r="D57" s="67">
        <v>3</v>
      </c>
      <c r="E57" s="68"/>
      <c r="F57" s="69">
        <v>40</v>
      </c>
      <c r="G57" s="66"/>
      <c r="H57" s="70"/>
      <c r="I57" s="71"/>
      <c r="J57" s="71"/>
      <c r="K57" s="35" t="s">
        <v>65</v>
      </c>
      <c r="L57" s="79">
        <v>57</v>
      </c>
      <c r="M57" s="79"/>
      <c r="N57" s="73"/>
      <c r="O57" s="81" t="s">
        <v>564</v>
      </c>
      <c r="P57" s="81" t="s">
        <v>566</v>
      </c>
      <c r="Q57" s="84" t="s">
        <v>619</v>
      </c>
      <c r="R57" s="81" t="s">
        <v>381</v>
      </c>
      <c r="S57" s="81" t="s">
        <v>894</v>
      </c>
      <c r="T57" s="86" t="str">
        <f>HYPERLINK("http://www.youtube.com/channel/UCh5Vq5sKzfQftZkz3sqj8zQ")</f>
        <v>http://www.youtube.com/channel/UCh5Vq5sKzfQftZkz3sqj8zQ</v>
      </c>
      <c r="U57" s="81" t="s">
        <v>1046</v>
      </c>
      <c r="V57" s="81" t="s">
        <v>1101</v>
      </c>
      <c r="W57" s="86" t="str">
        <f>HYPERLINK("https://www.youtube.com/watch?v=WHociTCrX48")</f>
        <v>https://www.youtube.com/watch?v=WHociTCrX48</v>
      </c>
      <c r="X57" s="81" t="s">
        <v>1183</v>
      </c>
      <c r="Y57" s="81">
        <v>0</v>
      </c>
      <c r="Z57" s="88">
        <v>42784.878125</v>
      </c>
      <c r="AA57" s="88">
        <v>42784.878125</v>
      </c>
      <c r="AB57" s="81"/>
      <c r="AC57" s="81"/>
      <c r="AD57" s="84" t="s">
        <v>1239</v>
      </c>
      <c r="AE57" s="82">
        <v>1</v>
      </c>
      <c r="AF57" s="83" t="str">
        <f>REPLACE(INDEX(GroupVertices[Group],MATCH(Edges[[#This Row],[Vertex 1]],GroupVertices[Vertex],0)),1,1,"")</f>
        <v>8</v>
      </c>
      <c r="AG57" s="83" t="str">
        <f>REPLACE(INDEX(GroupVertices[Group],MATCH(Edges[[#This Row],[Vertex 2]],GroupVertices[Vertex],0)),1,1,"")</f>
        <v>8</v>
      </c>
      <c r="AH57" s="111">
        <v>0</v>
      </c>
      <c r="AI57" s="112">
        <v>0</v>
      </c>
      <c r="AJ57" s="111">
        <v>0</v>
      </c>
      <c r="AK57" s="112">
        <v>0</v>
      </c>
      <c r="AL57" s="111">
        <v>0</v>
      </c>
      <c r="AM57" s="112">
        <v>0</v>
      </c>
      <c r="AN57" s="111">
        <v>7</v>
      </c>
      <c r="AO57" s="112">
        <v>100</v>
      </c>
      <c r="AP57" s="111">
        <v>7</v>
      </c>
    </row>
    <row r="58" spans="1:42" ht="15">
      <c r="A58" s="65" t="s">
        <v>382</v>
      </c>
      <c r="B58" s="65" t="s">
        <v>543</v>
      </c>
      <c r="C58" s="66" t="s">
        <v>2942</v>
      </c>
      <c r="D58" s="67">
        <v>3</v>
      </c>
      <c r="E58" s="68"/>
      <c r="F58" s="69">
        <v>40</v>
      </c>
      <c r="G58" s="66"/>
      <c r="H58" s="70"/>
      <c r="I58" s="71"/>
      <c r="J58" s="71"/>
      <c r="K58" s="35" t="s">
        <v>65</v>
      </c>
      <c r="L58" s="79">
        <v>58</v>
      </c>
      <c r="M58" s="79"/>
      <c r="N58" s="73"/>
      <c r="O58" s="81" t="s">
        <v>563</v>
      </c>
      <c r="P58" s="81" t="s">
        <v>325</v>
      </c>
      <c r="Q58" s="84" t="s">
        <v>620</v>
      </c>
      <c r="R58" s="81" t="s">
        <v>382</v>
      </c>
      <c r="S58" s="81" t="s">
        <v>895</v>
      </c>
      <c r="T58" s="86" t="str">
        <f>HYPERLINK("http://www.youtube.com/channel/UCbtGUyX5iHwuOUqh6mKuEvw")</f>
        <v>http://www.youtube.com/channel/UCbtGUyX5iHwuOUqh6mKuEvw</v>
      </c>
      <c r="U58" s="81"/>
      <c r="V58" s="81" t="s">
        <v>1101</v>
      </c>
      <c r="W58" s="86" t="str">
        <f>HYPERLINK("https://www.youtube.com/watch?v=WHociTCrX48")</f>
        <v>https://www.youtube.com/watch?v=WHociTCrX48</v>
      </c>
      <c r="X58" s="81" t="s">
        <v>1183</v>
      </c>
      <c r="Y58" s="81">
        <v>1</v>
      </c>
      <c r="Z58" s="88">
        <v>41574.65736111111</v>
      </c>
      <c r="AA58" s="88">
        <v>41574.65736111111</v>
      </c>
      <c r="AB58" s="81"/>
      <c r="AC58" s="81"/>
      <c r="AD58" s="84" t="s">
        <v>1239</v>
      </c>
      <c r="AE58" s="82">
        <v>1</v>
      </c>
      <c r="AF58" s="83" t="str">
        <f>REPLACE(INDEX(GroupVertices[Group],MATCH(Edges[[#This Row],[Vertex 1]],GroupVertices[Vertex],0)),1,1,"")</f>
        <v>8</v>
      </c>
      <c r="AG58" s="83" t="str">
        <f>REPLACE(INDEX(GroupVertices[Group],MATCH(Edges[[#This Row],[Vertex 2]],GroupVertices[Vertex],0)),1,1,"")</f>
        <v>8</v>
      </c>
      <c r="AH58" s="111">
        <v>0</v>
      </c>
      <c r="AI58" s="112">
        <v>0</v>
      </c>
      <c r="AJ58" s="111">
        <v>0</v>
      </c>
      <c r="AK58" s="112">
        <v>0</v>
      </c>
      <c r="AL58" s="111">
        <v>0</v>
      </c>
      <c r="AM58" s="112">
        <v>0</v>
      </c>
      <c r="AN58" s="111">
        <v>6</v>
      </c>
      <c r="AO58" s="112">
        <v>100</v>
      </c>
      <c r="AP58" s="111">
        <v>6</v>
      </c>
    </row>
    <row r="59" spans="1:42" ht="15">
      <c r="A59" s="65" t="s">
        <v>381</v>
      </c>
      <c r="B59" s="65" t="s">
        <v>383</v>
      </c>
      <c r="C59" s="66" t="s">
        <v>2942</v>
      </c>
      <c r="D59" s="67">
        <v>3</v>
      </c>
      <c r="E59" s="68"/>
      <c r="F59" s="69">
        <v>40</v>
      </c>
      <c r="G59" s="66"/>
      <c r="H59" s="70"/>
      <c r="I59" s="71"/>
      <c r="J59" s="71"/>
      <c r="K59" s="35" t="s">
        <v>65</v>
      </c>
      <c r="L59" s="79">
        <v>59</v>
      </c>
      <c r="M59" s="79"/>
      <c r="N59" s="73"/>
      <c r="O59" s="81" t="s">
        <v>564</v>
      </c>
      <c r="P59" s="81" t="s">
        <v>566</v>
      </c>
      <c r="Q59" s="84" t="s">
        <v>619</v>
      </c>
      <c r="R59" s="81" t="s">
        <v>381</v>
      </c>
      <c r="S59" s="81" t="s">
        <v>894</v>
      </c>
      <c r="T59" s="86" t="str">
        <f>HYPERLINK("http://www.youtube.com/channel/UCh5Vq5sKzfQftZkz3sqj8zQ")</f>
        <v>http://www.youtube.com/channel/UCh5Vq5sKzfQftZkz3sqj8zQ</v>
      </c>
      <c r="U59" s="81" t="s">
        <v>1047</v>
      </c>
      <c r="V59" s="81" t="s">
        <v>1101</v>
      </c>
      <c r="W59" s="86" t="str">
        <f>HYPERLINK("https://www.youtube.com/watch?v=WHociTCrX48")</f>
        <v>https://www.youtube.com/watch?v=WHociTCrX48</v>
      </c>
      <c r="X59" s="81" t="s">
        <v>1183</v>
      </c>
      <c r="Y59" s="81">
        <v>0</v>
      </c>
      <c r="Z59" s="88">
        <v>42784.87805555556</v>
      </c>
      <c r="AA59" s="88">
        <v>42784.87805555556</v>
      </c>
      <c r="AB59" s="81"/>
      <c r="AC59" s="81"/>
      <c r="AD59" s="84" t="s">
        <v>1239</v>
      </c>
      <c r="AE59" s="82">
        <v>1</v>
      </c>
      <c r="AF59" s="83" t="str">
        <f>REPLACE(INDEX(GroupVertices[Group],MATCH(Edges[[#This Row],[Vertex 1]],GroupVertices[Vertex],0)),1,1,"")</f>
        <v>8</v>
      </c>
      <c r="AG59" s="83" t="str">
        <f>REPLACE(INDEX(GroupVertices[Group],MATCH(Edges[[#This Row],[Vertex 2]],GroupVertices[Vertex],0)),1,1,"")</f>
        <v>8</v>
      </c>
      <c r="AH59" s="111">
        <v>0</v>
      </c>
      <c r="AI59" s="112">
        <v>0</v>
      </c>
      <c r="AJ59" s="111">
        <v>0</v>
      </c>
      <c r="AK59" s="112">
        <v>0</v>
      </c>
      <c r="AL59" s="111">
        <v>0</v>
      </c>
      <c r="AM59" s="112">
        <v>0</v>
      </c>
      <c r="AN59" s="111">
        <v>7</v>
      </c>
      <c r="AO59" s="112">
        <v>100</v>
      </c>
      <c r="AP59" s="111">
        <v>7</v>
      </c>
    </row>
    <row r="60" spans="1:42" ht="15">
      <c r="A60" s="65" t="s">
        <v>383</v>
      </c>
      <c r="B60" s="65" t="s">
        <v>543</v>
      </c>
      <c r="C60" s="66" t="s">
        <v>2942</v>
      </c>
      <c r="D60" s="67">
        <v>3</v>
      </c>
      <c r="E60" s="68"/>
      <c r="F60" s="69">
        <v>40</v>
      </c>
      <c r="G60" s="66"/>
      <c r="H60" s="70"/>
      <c r="I60" s="71"/>
      <c r="J60" s="71"/>
      <c r="K60" s="35" t="s">
        <v>65</v>
      </c>
      <c r="L60" s="79">
        <v>60</v>
      </c>
      <c r="M60" s="79"/>
      <c r="N60" s="73"/>
      <c r="O60" s="81" t="s">
        <v>563</v>
      </c>
      <c r="P60" s="81" t="s">
        <v>325</v>
      </c>
      <c r="Q60" s="84" t="s">
        <v>621</v>
      </c>
      <c r="R60" s="81" t="s">
        <v>383</v>
      </c>
      <c r="S60" s="81" t="s">
        <v>896</v>
      </c>
      <c r="T60" s="86" t="str">
        <f>HYPERLINK("http://www.youtube.com/channel/UCz799FrP_bspgWNMBVRz5JQ")</f>
        <v>http://www.youtube.com/channel/UCz799FrP_bspgWNMBVRz5JQ</v>
      </c>
      <c r="U60" s="81"/>
      <c r="V60" s="81" t="s">
        <v>1101</v>
      </c>
      <c r="W60" s="86" t="str">
        <f>HYPERLINK("https://www.youtube.com/watch?v=WHociTCrX48")</f>
        <v>https://www.youtube.com/watch?v=WHociTCrX48</v>
      </c>
      <c r="X60" s="81" t="s">
        <v>1183</v>
      </c>
      <c r="Y60" s="81">
        <v>1</v>
      </c>
      <c r="Z60" s="88">
        <v>41872.21103009259</v>
      </c>
      <c r="AA60" s="88">
        <v>41872.21103009259</v>
      </c>
      <c r="AB60" s="81"/>
      <c r="AC60" s="81"/>
      <c r="AD60" s="84" t="s">
        <v>1239</v>
      </c>
      <c r="AE60" s="82">
        <v>1</v>
      </c>
      <c r="AF60" s="83" t="str">
        <f>REPLACE(INDEX(GroupVertices[Group],MATCH(Edges[[#This Row],[Vertex 1]],GroupVertices[Vertex],0)),1,1,"")</f>
        <v>8</v>
      </c>
      <c r="AG60" s="83" t="str">
        <f>REPLACE(INDEX(GroupVertices[Group],MATCH(Edges[[#This Row],[Vertex 2]],GroupVertices[Vertex],0)),1,1,"")</f>
        <v>8</v>
      </c>
      <c r="AH60" s="111">
        <v>0</v>
      </c>
      <c r="AI60" s="112">
        <v>0</v>
      </c>
      <c r="AJ60" s="111">
        <v>0</v>
      </c>
      <c r="AK60" s="112">
        <v>0</v>
      </c>
      <c r="AL60" s="111">
        <v>0</v>
      </c>
      <c r="AM60" s="112">
        <v>0</v>
      </c>
      <c r="AN60" s="111">
        <v>12</v>
      </c>
      <c r="AO60" s="112">
        <v>100</v>
      </c>
      <c r="AP60" s="111">
        <v>12</v>
      </c>
    </row>
    <row r="61" spans="1:42" ht="15">
      <c r="A61" s="65" t="s">
        <v>381</v>
      </c>
      <c r="B61" s="65" t="s">
        <v>384</v>
      </c>
      <c r="C61" s="66" t="s">
        <v>2942</v>
      </c>
      <c r="D61" s="67">
        <v>3</v>
      </c>
      <c r="E61" s="68"/>
      <c r="F61" s="69">
        <v>40</v>
      </c>
      <c r="G61" s="66"/>
      <c r="H61" s="70"/>
      <c r="I61" s="71"/>
      <c r="J61" s="71"/>
      <c r="K61" s="35" t="s">
        <v>65</v>
      </c>
      <c r="L61" s="79">
        <v>61</v>
      </c>
      <c r="M61" s="79"/>
      <c r="N61" s="73"/>
      <c r="O61" s="81" t="s">
        <v>564</v>
      </c>
      <c r="P61" s="81" t="s">
        <v>566</v>
      </c>
      <c r="Q61" s="84" t="s">
        <v>622</v>
      </c>
      <c r="R61" s="81" t="s">
        <v>381</v>
      </c>
      <c r="S61" s="81" t="s">
        <v>894</v>
      </c>
      <c r="T61" s="86" t="str">
        <f>HYPERLINK("http://www.youtube.com/channel/UCh5Vq5sKzfQftZkz3sqj8zQ")</f>
        <v>http://www.youtube.com/channel/UCh5Vq5sKzfQftZkz3sqj8zQ</v>
      </c>
      <c r="U61" s="81" t="s">
        <v>1048</v>
      </c>
      <c r="V61" s="81" t="s">
        <v>1101</v>
      </c>
      <c r="W61" s="86" t="str">
        <f>HYPERLINK("https://www.youtube.com/watch?v=WHociTCrX48")</f>
        <v>https://www.youtube.com/watch?v=WHociTCrX48</v>
      </c>
      <c r="X61" s="81" t="s">
        <v>1183</v>
      </c>
      <c r="Y61" s="81">
        <v>0</v>
      </c>
      <c r="Z61" s="88">
        <v>42784.87787037037</v>
      </c>
      <c r="AA61" s="88">
        <v>42784.87787037037</v>
      </c>
      <c r="AB61" s="81"/>
      <c r="AC61" s="81"/>
      <c r="AD61" s="84" t="s">
        <v>1239</v>
      </c>
      <c r="AE61" s="82">
        <v>1</v>
      </c>
      <c r="AF61" s="83" t="str">
        <f>REPLACE(INDEX(GroupVertices[Group],MATCH(Edges[[#This Row],[Vertex 1]],GroupVertices[Vertex],0)),1,1,"")</f>
        <v>8</v>
      </c>
      <c r="AG61" s="83" t="str">
        <f>REPLACE(INDEX(GroupVertices[Group],MATCH(Edges[[#This Row],[Vertex 2]],GroupVertices[Vertex],0)),1,1,"")</f>
        <v>8</v>
      </c>
      <c r="AH61" s="111">
        <v>0</v>
      </c>
      <c r="AI61" s="112">
        <v>0</v>
      </c>
      <c r="AJ61" s="111">
        <v>0</v>
      </c>
      <c r="AK61" s="112">
        <v>0</v>
      </c>
      <c r="AL61" s="111">
        <v>0</v>
      </c>
      <c r="AM61" s="112">
        <v>0</v>
      </c>
      <c r="AN61" s="111">
        <v>10</v>
      </c>
      <c r="AO61" s="112">
        <v>100</v>
      </c>
      <c r="AP61" s="111">
        <v>10</v>
      </c>
    </row>
    <row r="62" spans="1:42" ht="15">
      <c r="A62" s="65" t="s">
        <v>384</v>
      </c>
      <c r="B62" s="65" t="s">
        <v>543</v>
      </c>
      <c r="C62" s="66" t="s">
        <v>2942</v>
      </c>
      <c r="D62" s="67">
        <v>3</v>
      </c>
      <c r="E62" s="68"/>
      <c r="F62" s="69">
        <v>40</v>
      </c>
      <c r="G62" s="66"/>
      <c r="H62" s="70"/>
      <c r="I62" s="71"/>
      <c r="J62" s="71"/>
      <c r="K62" s="35" t="s">
        <v>65</v>
      </c>
      <c r="L62" s="79">
        <v>62</v>
      </c>
      <c r="M62" s="79"/>
      <c r="N62" s="73"/>
      <c r="O62" s="81" t="s">
        <v>563</v>
      </c>
      <c r="P62" s="81" t="s">
        <v>325</v>
      </c>
      <c r="Q62" s="84" t="s">
        <v>623</v>
      </c>
      <c r="R62" s="81" t="s">
        <v>384</v>
      </c>
      <c r="S62" s="81" t="s">
        <v>897</v>
      </c>
      <c r="T62" s="86" t="str">
        <f>HYPERLINK("http://www.youtube.com/channel/UC8VGjN2NAbDcGbnw8kcioqw")</f>
        <v>http://www.youtube.com/channel/UC8VGjN2NAbDcGbnw8kcioqw</v>
      </c>
      <c r="U62" s="81"/>
      <c r="V62" s="81" t="s">
        <v>1101</v>
      </c>
      <c r="W62" s="86" t="str">
        <f>HYPERLINK("https://www.youtube.com/watch?v=WHociTCrX48")</f>
        <v>https://www.youtube.com/watch?v=WHociTCrX48</v>
      </c>
      <c r="X62" s="81" t="s">
        <v>1183</v>
      </c>
      <c r="Y62" s="81">
        <v>1</v>
      </c>
      <c r="Z62" s="88">
        <v>42008.32332175926</v>
      </c>
      <c r="AA62" s="88">
        <v>42008.32332175926</v>
      </c>
      <c r="AB62" s="81"/>
      <c r="AC62" s="81"/>
      <c r="AD62" s="84" t="s">
        <v>1239</v>
      </c>
      <c r="AE62" s="82">
        <v>1</v>
      </c>
      <c r="AF62" s="83" t="str">
        <f>REPLACE(INDEX(GroupVertices[Group],MATCH(Edges[[#This Row],[Vertex 1]],GroupVertices[Vertex],0)),1,1,"")</f>
        <v>8</v>
      </c>
      <c r="AG62" s="83" t="str">
        <f>REPLACE(INDEX(GroupVertices[Group],MATCH(Edges[[#This Row],[Vertex 2]],GroupVertices[Vertex],0)),1,1,"")</f>
        <v>8</v>
      </c>
      <c r="AH62" s="111">
        <v>0</v>
      </c>
      <c r="AI62" s="112">
        <v>0</v>
      </c>
      <c r="AJ62" s="111">
        <v>0</v>
      </c>
      <c r="AK62" s="112">
        <v>0</v>
      </c>
      <c r="AL62" s="111">
        <v>0</v>
      </c>
      <c r="AM62" s="112">
        <v>0</v>
      </c>
      <c r="AN62" s="111">
        <v>30</v>
      </c>
      <c r="AO62" s="112">
        <v>100</v>
      </c>
      <c r="AP62" s="111">
        <v>30</v>
      </c>
    </row>
    <row r="63" spans="1:42" ht="15">
      <c r="A63" s="65" t="s">
        <v>385</v>
      </c>
      <c r="B63" s="65" t="s">
        <v>386</v>
      </c>
      <c r="C63" s="66" t="s">
        <v>2942</v>
      </c>
      <c r="D63" s="67">
        <v>3</v>
      </c>
      <c r="E63" s="68"/>
      <c r="F63" s="69">
        <v>40</v>
      </c>
      <c r="G63" s="66"/>
      <c r="H63" s="70"/>
      <c r="I63" s="71"/>
      <c r="J63" s="71"/>
      <c r="K63" s="35" t="s">
        <v>65</v>
      </c>
      <c r="L63" s="79">
        <v>63</v>
      </c>
      <c r="M63" s="79"/>
      <c r="N63" s="73"/>
      <c r="O63" s="81" t="s">
        <v>564</v>
      </c>
      <c r="P63" s="81" t="s">
        <v>566</v>
      </c>
      <c r="Q63" s="84" t="s">
        <v>624</v>
      </c>
      <c r="R63" s="81" t="s">
        <v>385</v>
      </c>
      <c r="S63" s="81" t="s">
        <v>898</v>
      </c>
      <c r="T63" s="86" t="str">
        <f>HYPERLINK("http://www.youtube.com/channel/UC3SVNW8fO0QB0VQgw-Cboeg")</f>
        <v>http://www.youtube.com/channel/UC3SVNW8fO0QB0VQgw-Cboeg</v>
      </c>
      <c r="U63" s="81" t="s">
        <v>1049</v>
      </c>
      <c r="V63" s="81" t="s">
        <v>1101</v>
      </c>
      <c r="W63" s="86" t="str">
        <f>HYPERLINK("https://www.youtube.com/watch?v=WHociTCrX48")</f>
        <v>https://www.youtube.com/watch?v=WHociTCrX48</v>
      </c>
      <c r="X63" s="81" t="s">
        <v>1183</v>
      </c>
      <c r="Y63" s="81">
        <v>1</v>
      </c>
      <c r="Z63" s="88">
        <v>42294.82548611111</v>
      </c>
      <c r="AA63" s="88">
        <v>42294.82548611111</v>
      </c>
      <c r="AB63" s="81"/>
      <c r="AC63" s="81"/>
      <c r="AD63" s="84" t="s">
        <v>1239</v>
      </c>
      <c r="AE63" s="82">
        <v>1</v>
      </c>
      <c r="AF63" s="83" t="str">
        <f>REPLACE(INDEX(GroupVertices[Group],MATCH(Edges[[#This Row],[Vertex 1]],GroupVertices[Vertex],0)),1,1,"")</f>
        <v>8</v>
      </c>
      <c r="AG63" s="83" t="str">
        <f>REPLACE(INDEX(GroupVertices[Group],MATCH(Edges[[#This Row],[Vertex 2]],GroupVertices[Vertex],0)),1,1,"")</f>
        <v>8</v>
      </c>
      <c r="AH63" s="111">
        <v>0</v>
      </c>
      <c r="AI63" s="112">
        <v>0</v>
      </c>
      <c r="AJ63" s="111">
        <v>0</v>
      </c>
      <c r="AK63" s="112">
        <v>0</v>
      </c>
      <c r="AL63" s="111">
        <v>0</v>
      </c>
      <c r="AM63" s="112">
        <v>0</v>
      </c>
      <c r="AN63" s="111">
        <v>24</v>
      </c>
      <c r="AO63" s="112">
        <v>100</v>
      </c>
      <c r="AP63" s="111">
        <v>24</v>
      </c>
    </row>
    <row r="64" spans="1:42" ht="15">
      <c r="A64" s="65" t="s">
        <v>381</v>
      </c>
      <c r="B64" s="65" t="s">
        <v>386</v>
      </c>
      <c r="C64" s="66" t="s">
        <v>2942</v>
      </c>
      <c r="D64" s="67">
        <v>3</v>
      </c>
      <c r="E64" s="68"/>
      <c r="F64" s="69">
        <v>40</v>
      </c>
      <c r="G64" s="66"/>
      <c r="H64" s="70"/>
      <c r="I64" s="71"/>
      <c r="J64" s="71"/>
      <c r="K64" s="35" t="s">
        <v>65</v>
      </c>
      <c r="L64" s="79">
        <v>64</v>
      </c>
      <c r="M64" s="79"/>
      <c r="N64" s="73"/>
      <c r="O64" s="81" t="s">
        <v>564</v>
      </c>
      <c r="P64" s="81" t="s">
        <v>566</v>
      </c>
      <c r="Q64" s="84" t="s">
        <v>625</v>
      </c>
      <c r="R64" s="81" t="s">
        <v>381</v>
      </c>
      <c r="S64" s="81" t="s">
        <v>894</v>
      </c>
      <c r="T64" s="86" t="str">
        <f>HYPERLINK("http://www.youtube.com/channel/UCh5Vq5sKzfQftZkz3sqj8zQ")</f>
        <v>http://www.youtube.com/channel/UCh5Vq5sKzfQftZkz3sqj8zQ</v>
      </c>
      <c r="U64" s="81" t="s">
        <v>1049</v>
      </c>
      <c r="V64" s="81" t="s">
        <v>1101</v>
      </c>
      <c r="W64" s="86" t="str">
        <f>HYPERLINK("https://www.youtube.com/watch?v=WHociTCrX48")</f>
        <v>https://www.youtube.com/watch?v=WHociTCrX48</v>
      </c>
      <c r="X64" s="81" t="s">
        <v>1183</v>
      </c>
      <c r="Y64" s="81">
        <v>0</v>
      </c>
      <c r="Z64" s="88">
        <v>42784.877650462964</v>
      </c>
      <c r="AA64" s="88">
        <v>42784.877650462964</v>
      </c>
      <c r="AB64" s="81" t="s">
        <v>1191</v>
      </c>
      <c r="AC64" s="81" t="s">
        <v>1225</v>
      </c>
      <c r="AD64" s="84" t="s">
        <v>1239</v>
      </c>
      <c r="AE64" s="82">
        <v>1</v>
      </c>
      <c r="AF64" s="83" t="str">
        <f>REPLACE(INDEX(GroupVertices[Group],MATCH(Edges[[#This Row],[Vertex 1]],GroupVertices[Vertex],0)),1,1,"")</f>
        <v>8</v>
      </c>
      <c r="AG64" s="83" t="str">
        <f>REPLACE(INDEX(GroupVertices[Group],MATCH(Edges[[#This Row],[Vertex 2]],GroupVertices[Vertex],0)),1,1,"")</f>
        <v>8</v>
      </c>
      <c r="AH64" s="111">
        <v>0</v>
      </c>
      <c r="AI64" s="112">
        <v>0</v>
      </c>
      <c r="AJ64" s="111">
        <v>0</v>
      </c>
      <c r="AK64" s="112">
        <v>0</v>
      </c>
      <c r="AL64" s="111">
        <v>0</v>
      </c>
      <c r="AM64" s="112">
        <v>0</v>
      </c>
      <c r="AN64" s="111">
        <v>31</v>
      </c>
      <c r="AO64" s="112">
        <v>100</v>
      </c>
      <c r="AP64" s="111">
        <v>31</v>
      </c>
    </row>
    <row r="65" spans="1:42" ht="15">
      <c r="A65" s="65" t="s">
        <v>386</v>
      </c>
      <c r="B65" s="65" t="s">
        <v>543</v>
      </c>
      <c r="C65" s="66" t="s">
        <v>2942</v>
      </c>
      <c r="D65" s="67">
        <v>3</v>
      </c>
      <c r="E65" s="68"/>
      <c r="F65" s="69">
        <v>40</v>
      </c>
      <c r="G65" s="66"/>
      <c r="H65" s="70"/>
      <c r="I65" s="71"/>
      <c r="J65" s="71"/>
      <c r="K65" s="35" t="s">
        <v>65</v>
      </c>
      <c r="L65" s="79">
        <v>65</v>
      </c>
      <c r="M65" s="79"/>
      <c r="N65" s="73"/>
      <c r="O65" s="81" t="s">
        <v>563</v>
      </c>
      <c r="P65" s="81" t="s">
        <v>325</v>
      </c>
      <c r="Q65" s="84" t="s">
        <v>626</v>
      </c>
      <c r="R65" s="81" t="s">
        <v>386</v>
      </c>
      <c r="S65" s="81" t="s">
        <v>899</v>
      </c>
      <c r="T65" s="86" t="str">
        <f>HYPERLINK("http://www.youtube.com/channel/UCB14GBHsqGQ0iUL121nwOKQ")</f>
        <v>http://www.youtube.com/channel/UCB14GBHsqGQ0iUL121nwOKQ</v>
      </c>
      <c r="U65" s="81"/>
      <c r="V65" s="81" t="s">
        <v>1101</v>
      </c>
      <c r="W65" s="86" t="str">
        <f>HYPERLINK("https://www.youtube.com/watch?v=WHociTCrX48")</f>
        <v>https://www.youtube.com/watch?v=WHociTCrX48</v>
      </c>
      <c r="X65" s="81" t="s">
        <v>1183</v>
      </c>
      <c r="Y65" s="81">
        <v>2</v>
      </c>
      <c r="Z65" s="88">
        <v>42102.74821759259</v>
      </c>
      <c r="AA65" s="88">
        <v>42102.74821759259</v>
      </c>
      <c r="AB65" s="81"/>
      <c r="AC65" s="81"/>
      <c r="AD65" s="84" t="s">
        <v>1239</v>
      </c>
      <c r="AE65" s="82">
        <v>1</v>
      </c>
      <c r="AF65" s="83" t="str">
        <f>REPLACE(INDEX(GroupVertices[Group],MATCH(Edges[[#This Row],[Vertex 1]],GroupVertices[Vertex],0)),1,1,"")</f>
        <v>8</v>
      </c>
      <c r="AG65" s="83" t="str">
        <f>REPLACE(INDEX(GroupVertices[Group],MATCH(Edges[[#This Row],[Vertex 2]],GroupVertices[Vertex],0)),1,1,"")</f>
        <v>8</v>
      </c>
      <c r="AH65" s="111">
        <v>0</v>
      </c>
      <c r="AI65" s="112">
        <v>0</v>
      </c>
      <c r="AJ65" s="111">
        <v>0</v>
      </c>
      <c r="AK65" s="112">
        <v>0</v>
      </c>
      <c r="AL65" s="111">
        <v>0</v>
      </c>
      <c r="AM65" s="112">
        <v>0</v>
      </c>
      <c r="AN65" s="111">
        <v>52</v>
      </c>
      <c r="AO65" s="112">
        <v>100</v>
      </c>
      <c r="AP65" s="111">
        <v>52</v>
      </c>
    </row>
    <row r="66" spans="1:42" ht="15">
      <c r="A66" s="65" t="s">
        <v>381</v>
      </c>
      <c r="B66" s="65" t="s">
        <v>387</v>
      </c>
      <c r="C66" s="66" t="s">
        <v>2942</v>
      </c>
      <c r="D66" s="67">
        <v>3</v>
      </c>
      <c r="E66" s="68"/>
      <c r="F66" s="69">
        <v>40</v>
      </c>
      <c r="G66" s="66"/>
      <c r="H66" s="70"/>
      <c r="I66" s="71"/>
      <c r="J66" s="71"/>
      <c r="K66" s="35" t="s">
        <v>65</v>
      </c>
      <c r="L66" s="79">
        <v>66</v>
      </c>
      <c r="M66" s="79"/>
      <c r="N66" s="73"/>
      <c r="O66" s="81" t="s">
        <v>564</v>
      </c>
      <c r="P66" s="81" t="s">
        <v>566</v>
      </c>
      <c r="Q66" s="84" t="s">
        <v>627</v>
      </c>
      <c r="R66" s="81" t="s">
        <v>381</v>
      </c>
      <c r="S66" s="81" t="s">
        <v>894</v>
      </c>
      <c r="T66" s="86" t="str">
        <f>HYPERLINK("http://www.youtube.com/channel/UCh5Vq5sKzfQftZkz3sqj8zQ")</f>
        <v>http://www.youtube.com/channel/UCh5Vq5sKzfQftZkz3sqj8zQ</v>
      </c>
      <c r="U66" s="81" t="s">
        <v>1050</v>
      </c>
      <c r="V66" s="81" t="s">
        <v>1101</v>
      </c>
      <c r="W66" s="86" t="str">
        <f>HYPERLINK("https://www.youtube.com/watch?v=WHociTCrX48")</f>
        <v>https://www.youtube.com/watch?v=WHociTCrX48</v>
      </c>
      <c r="X66" s="81" t="s">
        <v>1183</v>
      </c>
      <c r="Y66" s="81">
        <v>0</v>
      </c>
      <c r="Z66" s="88">
        <v>42784.877384259256</v>
      </c>
      <c r="AA66" s="88">
        <v>42784.877384259256</v>
      </c>
      <c r="AB66" s="81"/>
      <c r="AC66" s="81"/>
      <c r="AD66" s="84" t="s">
        <v>1239</v>
      </c>
      <c r="AE66" s="82">
        <v>1</v>
      </c>
      <c r="AF66" s="83" t="str">
        <f>REPLACE(INDEX(GroupVertices[Group],MATCH(Edges[[#This Row],[Vertex 1]],GroupVertices[Vertex],0)),1,1,"")</f>
        <v>8</v>
      </c>
      <c r="AG66" s="83" t="str">
        <f>REPLACE(INDEX(GroupVertices[Group],MATCH(Edges[[#This Row],[Vertex 2]],GroupVertices[Vertex],0)),1,1,"")</f>
        <v>8</v>
      </c>
      <c r="AH66" s="111">
        <v>1</v>
      </c>
      <c r="AI66" s="112">
        <v>3.7037037037037037</v>
      </c>
      <c r="AJ66" s="111">
        <v>0</v>
      </c>
      <c r="AK66" s="112">
        <v>0</v>
      </c>
      <c r="AL66" s="111">
        <v>0</v>
      </c>
      <c r="AM66" s="112">
        <v>0</v>
      </c>
      <c r="AN66" s="111">
        <v>26</v>
      </c>
      <c r="AO66" s="112">
        <v>96.29629629629629</v>
      </c>
      <c r="AP66" s="111">
        <v>27</v>
      </c>
    </row>
    <row r="67" spans="1:42" ht="15">
      <c r="A67" s="65" t="s">
        <v>387</v>
      </c>
      <c r="B67" s="65" t="s">
        <v>543</v>
      </c>
      <c r="C67" s="66" t="s">
        <v>2942</v>
      </c>
      <c r="D67" s="67">
        <v>3</v>
      </c>
      <c r="E67" s="68"/>
      <c r="F67" s="69">
        <v>40</v>
      </c>
      <c r="G67" s="66"/>
      <c r="H67" s="70"/>
      <c r="I67" s="71"/>
      <c r="J67" s="71"/>
      <c r="K67" s="35" t="s">
        <v>65</v>
      </c>
      <c r="L67" s="79">
        <v>67</v>
      </c>
      <c r="M67" s="79"/>
      <c r="N67" s="73"/>
      <c r="O67" s="81" t="s">
        <v>563</v>
      </c>
      <c r="P67" s="81" t="s">
        <v>325</v>
      </c>
      <c r="Q67" s="84" t="s">
        <v>628</v>
      </c>
      <c r="R67" s="81" t="s">
        <v>387</v>
      </c>
      <c r="S67" s="81" t="s">
        <v>900</v>
      </c>
      <c r="T67" s="86" t="str">
        <f>HYPERLINK("http://www.youtube.com/channel/UCXWqZlXgy_0lF0b_br8sk0A")</f>
        <v>http://www.youtube.com/channel/UCXWqZlXgy_0lF0b_br8sk0A</v>
      </c>
      <c r="U67" s="81"/>
      <c r="V67" s="81" t="s">
        <v>1101</v>
      </c>
      <c r="W67" s="86" t="str">
        <f>HYPERLINK("https://www.youtube.com/watch?v=WHociTCrX48")</f>
        <v>https://www.youtube.com/watch?v=WHociTCrX48</v>
      </c>
      <c r="X67" s="81" t="s">
        <v>1183</v>
      </c>
      <c r="Y67" s="81">
        <v>1</v>
      </c>
      <c r="Z67" s="88">
        <v>42754.813888888886</v>
      </c>
      <c r="AA67" s="88">
        <v>42754.813888888886</v>
      </c>
      <c r="AB67" s="81"/>
      <c r="AC67" s="81"/>
      <c r="AD67" s="84" t="s">
        <v>1239</v>
      </c>
      <c r="AE67" s="82">
        <v>1</v>
      </c>
      <c r="AF67" s="83" t="str">
        <f>REPLACE(INDEX(GroupVertices[Group],MATCH(Edges[[#This Row],[Vertex 1]],GroupVertices[Vertex],0)),1,1,"")</f>
        <v>8</v>
      </c>
      <c r="AG67" s="83" t="str">
        <f>REPLACE(INDEX(GroupVertices[Group],MATCH(Edges[[#This Row],[Vertex 2]],GroupVertices[Vertex],0)),1,1,"")</f>
        <v>8</v>
      </c>
      <c r="AH67" s="111">
        <v>0</v>
      </c>
      <c r="AI67" s="112">
        <v>0</v>
      </c>
      <c r="AJ67" s="111">
        <v>0</v>
      </c>
      <c r="AK67" s="112">
        <v>0</v>
      </c>
      <c r="AL67" s="111">
        <v>0</v>
      </c>
      <c r="AM67" s="112">
        <v>0</v>
      </c>
      <c r="AN67" s="111">
        <v>37</v>
      </c>
      <c r="AO67" s="112">
        <v>100</v>
      </c>
      <c r="AP67" s="111">
        <v>37</v>
      </c>
    </row>
    <row r="68" spans="1:42" ht="15">
      <c r="A68" s="65" t="s">
        <v>381</v>
      </c>
      <c r="B68" s="65" t="s">
        <v>543</v>
      </c>
      <c r="C68" s="66" t="s">
        <v>2942</v>
      </c>
      <c r="D68" s="67">
        <v>3</v>
      </c>
      <c r="E68" s="68"/>
      <c r="F68" s="69">
        <v>40</v>
      </c>
      <c r="G68" s="66"/>
      <c r="H68" s="70"/>
      <c r="I68" s="71"/>
      <c r="J68" s="71"/>
      <c r="K68" s="35" t="s">
        <v>65</v>
      </c>
      <c r="L68" s="79">
        <v>68</v>
      </c>
      <c r="M68" s="79"/>
      <c r="N68" s="73"/>
      <c r="O68" s="81" t="s">
        <v>563</v>
      </c>
      <c r="P68" s="81" t="s">
        <v>325</v>
      </c>
      <c r="Q68" s="84" t="s">
        <v>629</v>
      </c>
      <c r="R68" s="81" t="s">
        <v>381</v>
      </c>
      <c r="S68" s="81" t="s">
        <v>894</v>
      </c>
      <c r="T68" s="86" t="str">
        <f>HYPERLINK("http://www.youtube.com/channel/UCh5Vq5sKzfQftZkz3sqj8zQ")</f>
        <v>http://www.youtube.com/channel/UCh5Vq5sKzfQftZkz3sqj8zQ</v>
      </c>
      <c r="U68" s="81"/>
      <c r="V68" s="81" t="s">
        <v>1101</v>
      </c>
      <c r="W68" s="86" t="str">
        <f>HYPERLINK("https://www.youtube.com/watch?v=WHociTCrX48")</f>
        <v>https://www.youtube.com/watch?v=WHociTCrX48</v>
      </c>
      <c r="X68" s="81" t="s">
        <v>1183</v>
      </c>
      <c r="Y68" s="81">
        <v>1</v>
      </c>
      <c r="Z68" s="88">
        <v>41562.87017361111</v>
      </c>
      <c r="AA68" s="88">
        <v>41562.87017361111</v>
      </c>
      <c r="AB68" s="81"/>
      <c r="AC68" s="81"/>
      <c r="AD68" s="84" t="s">
        <v>1239</v>
      </c>
      <c r="AE68" s="82">
        <v>1</v>
      </c>
      <c r="AF68" s="83" t="str">
        <f>REPLACE(INDEX(GroupVertices[Group],MATCH(Edges[[#This Row],[Vertex 1]],GroupVertices[Vertex],0)),1,1,"")</f>
        <v>8</v>
      </c>
      <c r="AG68" s="83" t="str">
        <f>REPLACE(INDEX(GroupVertices[Group],MATCH(Edges[[#This Row],[Vertex 2]],GroupVertices[Vertex],0)),1,1,"")</f>
        <v>8</v>
      </c>
      <c r="AH68" s="111">
        <v>0</v>
      </c>
      <c r="AI68" s="112">
        <v>0</v>
      </c>
      <c r="AJ68" s="111">
        <v>0</v>
      </c>
      <c r="AK68" s="112">
        <v>0</v>
      </c>
      <c r="AL68" s="111">
        <v>0</v>
      </c>
      <c r="AM68" s="112">
        <v>0</v>
      </c>
      <c r="AN68" s="111">
        <v>14</v>
      </c>
      <c r="AO68" s="112">
        <v>100</v>
      </c>
      <c r="AP68" s="111">
        <v>14</v>
      </c>
    </row>
    <row r="69" spans="1:42" ht="15">
      <c r="A69" s="65" t="s">
        <v>381</v>
      </c>
      <c r="B69" s="65" t="s">
        <v>388</v>
      </c>
      <c r="C69" s="66" t="s">
        <v>2942</v>
      </c>
      <c r="D69" s="67">
        <v>3</v>
      </c>
      <c r="E69" s="68"/>
      <c r="F69" s="69">
        <v>40</v>
      </c>
      <c r="G69" s="66"/>
      <c r="H69" s="70"/>
      <c r="I69" s="71"/>
      <c r="J69" s="71"/>
      <c r="K69" s="35" t="s">
        <v>65</v>
      </c>
      <c r="L69" s="79">
        <v>69</v>
      </c>
      <c r="M69" s="79"/>
      <c r="N69" s="73"/>
      <c r="O69" s="81" t="s">
        <v>564</v>
      </c>
      <c r="P69" s="81" t="s">
        <v>566</v>
      </c>
      <c r="Q69" s="84" t="s">
        <v>630</v>
      </c>
      <c r="R69" s="81" t="s">
        <v>381</v>
      </c>
      <c r="S69" s="81" t="s">
        <v>894</v>
      </c>
      <c r="T69" s="86" t="str">
        <f>HYPERLINK("http://www.youtube.com/channel/UCh5Vq5sKzfQftZkz3sqj8zQ")</f>
        <v>http://www.youtube.com/channel/UCh5Vq5sKzfQftZkz3sqj8zQ</v>
      </c>
      <c r="U69" s="81" t="s">
        <v>1051</v>
      </c>
      <c r="V69" s="81" t="s">
        <v>1101</v>
      </c>
      <c r="W69" s="86" t="str">
        <f>HYPERLINK("https://www.youtube.com/watch?v=WHociTCrX48")</f>
        <v>https://www.youtube.com/watch?v=WHociTCrX48</v>
      </c>
      <c r="X69" s="81" t="s">
        <v>1183</v>
      </c>
      <c r="Y69" s="81">
        <v>0</v>
      </c>
      <c r="Z69" s="88">
        <v>42784.876863425925</v>
      </c>
      <c r="AA69" s="88">
        <v>42784.876863425925</v>
      </c>
      <c r="AB69" s="81"/>
      <c r="AC69" s="81"/>
      <c r="AD69" s="84" t="s">
        <v>1239</v>
      </c>
      <c r="AE69" s="82">
        <v>1</v>
      </c>
      <c r="AF69" s="83" t="str">
        <f>REPLACE(INDEX(GroupVertices[Group],MATCH(Edges[[#This Row],[Vertex 1]],GroupVertices[Vertex],0)),1,1,"")</f>
        <v>8</v>
      </c>
      <c r="AG69" s="83" t="str">
        <f>REPLACE(INDEX(GroupVertices[Group],MATCH(Edges[[#This Row],[Vertex 2]],GroupVertices[Vertex],0)),1,1,"")</f>
        <v>8</v>
      </c>
      <c r="AH69" s="111">
        <v>0</v>
      </c>
      <c r="AI69" s="112">
        <v>0</v>
      </c>
      <c r="AJ69" s="111">
        <v>0</v>
      </c>
      <c r="AK69" s="112">
        <v>0</v>
      </c>
      <c r="AL69" s="111">
        <v>0</v>
      </c>
      <c r="AM69" s="112">
        <v>0</v>
      </c>
      <c r="AN69" s="111">
        <v>30</v>
      </c>
      <c r="AO69" s="112">
        <v>100</v>
      </c>
      <c r="AP69" s="111">
        <v>30</v>
      </c>
    </row>
    <row r="70" spans="1:42" ht="15">
      <c r="A70" s="65" t="s">
        <v>388</v>
      </c>
      <c r="B70" s="65" t="s">
        <v>388</v>
      </c>
      <c r="C70" s="66" t="s">
        <v>2943</v>
      </c>
      <c r="D70" s="67">
        <v>4.4</v>
      </c>
      <c r="E70" s="68"/>
      <c r="F70" s="69">
        <v>35</v>
      </c>
      <c r="G70" s="66"/>
      <c r="H70" s="70"/>
      <c r="I70" s="71"/>
      <c r="J70" s="71"/>
      <c r="K70" s="35" t="s">
        <v>65</v>
      </c>
      <c r="L70" s="79">
        <v>70</v>
      </c>
      <c r="M70" s="79"/>
      <c r="N70" s="73"/>
      <c r="O70" s="81" t="s">
        <v>564</v>
      </c>
      <c r="P70" s="81" t="s">
        <v>566</v>
      </c>
      <c r="Q70" s="84" t="s">
        <v>631</v>
      </c>
      <c r="R70" s="81" t="s">
        <v>388</v>
      </c>
      <c r="S70" s="81" t="s">
        <v>901</v>
      </c>
      <c r="T70" s="86" t="str">
        <f>HYPERLINK("http://www.youtube.com/channel/UCG6UKWK21O1SGwcuG4SaH0A")</f>
        <v>http://www.youtube.com/channel/UCG6UKWK21O1SGwcuG4SaH0A</v>
      </c>
      <c r="U70" s="81" t="s">
        <v>1051</v>
      </c>
      <c r="V70" s="81" t="s">
        <v>1101</v>
      </c>
      <c r="W70" s="86" t="str">
        <f>HYPERLINK("https://www.youtube.com/watch?v=WHociTCrX48")</f>
        <v>https://www.youtube.com/watch?v=WHociTCrX48</v>
      </c>
      <c r="X70" s="81" t="s">
        <v>1183</v>
      </c>
      <c r="Y70" s="81">
        <v>0</v>
      </c>
      <c r="Z70" s="88">
        <v>42786.04975694444</v>
      </c>
      <c r="AA70" s="88">
        <v>42786.04975694444</v>
      </c>
      <c r="AB70" s="81"/>
      <c r="AC70" s="81"/>
      <c r="AD70" s="84" t="s">
        <v>1239</v>
      </c>
      <c r="AE70" s="82">
        <v>2</v>
      </c>
      <c r="AF70" s="83" t="str">
        <f>REPLACE(INDEX(GroupVertices[Group],MATCH(Edges[[#This Row],[Vertex 1]],GroupVertices[Vertex],0)),1,1,"")</f>
        <v>8</v>
      </c>
      <c r="AG70" s="83" t="str">
        <f>REPLACE(INDEX(GroupVertices[Group],MATCH(Edges[[#This Row],[Vertex 2]],GroupVertices[Vertex],0)),1,1,"")</f>
        <v>8</v>
      </c>
      <c r="AH70" s="111">
        <v>2</v>
      </c>
      <c r="AI70" s="112">
        <v>5</v>
      </c>
      <c r="AJ70" s="111">
        <v>0</v>
      </c>
      <c r="AK70" s="112">
        <v>0</v>
      </c>
      <c r="AL70" s="111">
        <v>0</v>
      </c>
      <c r="AM70" s="112">
        <v>0</v>
      </c>
      <c r="AN70" s="111">
        <v>38</v>
      </c>
      <c r="AO70" s="112">
        <v>95</v>
      </c>
      <c r="AP70" s="111">
        <v>40</v>
      </c>
    </row>
    <row r="71" spans="1:42" ht="15">
      <c r="A71" s="65" t="s">
        <v>388</v>
      </c>
      <c r="B71" s="65" t="s">
        <v>388</v>
      </c>
      <c r="C71" s="66" t="s">
        <v>2943</v>
      </c>
      <c r="D71" s="67">
        <v>4.4</v>
      </c>
      <c r="E71" s="68"/>
      <c r="F71" s="69">
        <v>35</v>
      </c>
      <c r="G71" s="66"/>
      <c r="H71" s="70"/>
      <c r="I71" s="71"/>
      <c r="J71" s="71"/>
      <c r="K71" s="35" t="s">
        <v>65</v>
      </c>
      <c r="L71" s="79">
        <v>71</v>
      </c>
      <c r="M71" s="79"/>
      <c r="N71" s="73"/>
      <c r="O71" s="81" t="s">
        <v>564</v>
      </c>
      <c r="P71" s="81" t="s">
        <v>566</v>
      </c>
      <c r="Q71" s="84" t="s">
        <v>632</v>
      </c>
      <c r="R71" s="81" t="s">
        <v>388</v>
      </c>
      <c r="S71" s="81" t="s">
        <v>901</v>
      </c>
      <c r="T71" s="86" t="str">
        <f>HYPERLINK("http://www.youtube.com/channel/UCG6UKWK21O1SGwcuG4SaH0A")</f>
        <v>http://www.youtube.com/channel/UCG6UKWK21O1SGwcuG4SaH0A</v>
      </c>
      <c r="U71" s="81" t="s">
        <v>1051</v>
      </c>
      <c r="V71" s="81" t="s">
        <v>1101</v>
      </c>
      <c r="W71" s="86" t="str">
        <f>HYPERLINK("https://www.youtube.com/watch?v=WHociTCrX48")</f>
        <v>https://www.youtube.com/watch?v=WHociTCrX48</v>
      </c>
      <c r="X71" s="81" t="s">
        <v>1183</v>
      </c>
      <c r="Y71" s="81">
        <v>0</v>
      </c>
      <c r="Z71" s="88">
        <v>42786.05118055556</v>
      </c>
      <c r="AA71" s="88">
        <v>42786.05118055556</v>
      </c>
      <c r="AB71" s="81"/>
      <c r="AC71" s="81"/>
      <c r="AD71" s="84" t="s">
        <v>1239</v>
      </c>
      <c r="AE71" s="82">
        <v>2</v>
      </c>
      <c r="AF71" s="83" t="str">
        <f>REPLACE(INDEX(GroupVertices[Group],MATCH(Edges[[#This Row],[Vertex 1]],GroupVertices[Vertex],0)),1,1,"")</f>
        <v>8</v>
      </c>
      <c r="AG71" s="83" t="str">
        <f>REPLACE(INDEX(GroupVertices[Group],MATCH(Edges[[#This Row],[Vertex 2]],GroupVertices[Vertex],0)),1,1,"")</f>
        <v>8</v>
      </c>
      <c r="AH71" s="111">
        <v>1</v>
      </c>
      <c r="AI71" s="112">
        <v>7.142857142857143</v>
      </c>
      <c r="AJ71" s="111">
        <v>0</v>
      </c>
      <c r="AK71" s="112">
        <v>0</v>
      </c>
      <c r="AL71" s="111">
        <v>0</v>
      </c>
      <c r="AM71" s="112">
        <v>0</v>
      </c>
      <c r="AN71" s="111">
        <v>13</v>
      </c>
      <c r="AO71" s="112">
        <v>92.85714285714286</v>
      </c>
      <c r="AP71" s="111">
        <v>14</v>
      </c>
    </row>
    <row r="72" spans="1:42" ht="15">
      <c r="A72" s="65" t="s">
        <v>388</v>
      </c>
      <c r="B72" s="65" t="s">
        <v>543</v>
      </c>
      <c r="C72" s="66" t="s">
        <v>2942</v>
      </c>
      <c r="D72" s="67">
        <v>3</v>
      </c>
      <c r="E72" s="68"/>
      <c r="F72" s="69">
        <v>40</v>
      </c>
      <c r="G72" s="66"/>
      <c r="H72" s="70"/>
      <c r="I72" s="71"/>
      <c r="J72" s="71"/>
      <c r="K72" s="35" t="s">
        <v>65</v>
      </c>
      <c r="L72" s="79">
        <v>72</v>
      </c>
      <c r="M72" s="79"/>
      <c r="N72" s="73"/>
      <c r="O72" s="81" t="s">
        <v>563</v>
      </c>
      <c r="P72" s="81" t="s">
        <v>325</v>
      </c>
      <c r="Q72" s="84" t="s">
        <v>633</v>
      </c>
      <c r="R72" s="81" t="s">
        <v>388</v>
      </c>
      <c r="S72" s="81" t="s">
        <v>901</v>
      </c>
      <c r="T72" s="86" t="str">
        <f>HYPERLINK("http://www.youtube.com/channel/UCG6UKWK21O1SGwcuG4SaH0A")</f>
        <v>http://www.youtube.com/channel/UCG6UKWK21O1SGwcuG4SaH0A</v>
      </c>
      <c r="U72" s="81"/>
      <c r="V72" s="81" t="s">
        <v>1101</v>
      </c>
      <c r="W72" s="86" t="str">
        <f>HYPERLINK("https://www.youtube.com/watch?v=WHociTCrX48")</f>
        <v>https://www.youtube.com/watch?v=WHociTCrX48</v>
      </c>
      <c r="X72" s="81" t="s">
        <v>1183</v>
      </c>
      <c r="Y72" s="81">
        <v>1</v>
      </c>
      <c r="Z72" s="88">
        <v>42778.94033564815</v>
      </c>
      <c r="AA72" s="88">
        <v>42778.94033564815</v>
      </c>
      <c r="AB72" s="81"/>
      <c r="AC72" s="81"/>
      <c r="AD72" s="84" t="s">
        <v>1239</v>
      </c>
      <c r="AE72" s="82">
        <v>1</v>
      </c>
      <c r="AF72" s="83" t="str">
        <f>REPLACE(INDEX(GroupVertices[Group],MATCH(Edges[[#This Row],[Vertex 1]],GroupVertices[Vertex],0)),1,1,"")</f>
        <v>8</v>
      </c>
      <c r="AG72" s="83" t="str">
        <f>REPLACE(INDEX(GroupVertices[Group],MATCH(Edges[[#This Row],[Vertex 2]],GroupVertices[Vertex],0)),1,1,"")</f>
        <v>8</v>
      </c>
      <c r="AH72" s="111">
        <v>0</v>
      </c>
      <c r="AI72" s="112">
        <v>0</v>
      </c>
      <c r="AJ72" s="111">
        <v>0</v>
      </c>
      <c r="AK72" s="112">
        <v>0</v>
      </c>
      <c r="AL72" s="111">
        <v>0</v>
      </c>
      <c r="AM72" s="112">
        <v>0</v>
      </c>
      <c r="AN72" s="111">
        <v>32</v>
      </c>
      <c r="AO72" s="112">
        <v>100</v>
      </c>
      <c r="AP72" s="111">
        <v>32</v>
      </c>
    </row>
    <row r="73" spans="1:42" ht="15">
      <c r="A73" s="65" t="s">
        <v>389</v>
      </c>
      <c r="B73" s="65" t="s">
        <v>543</v>
      </c>
      <c r="C73" s="66" t="s">
        <v>2942</v>
      </c>
      <c r="D73" s="67">
        <v>3</v>
      </c>
      <c r="E73" s="68"/>
      <c r="F73" s="69">
        <v>40</v>
      </c>
      <c r="G73" s="66"/>
      <c r="H73" s="70"/>
      <c r="I73" s="71"/>
      <c r="J73" s="71"/>
      <c r="K73" s="35" t="s">
        <v>65</v>
      </c>
      <c r="L73" s="79">
        <v>73</v>
      </c>
      <c r="M73" s="79"/>
      <c r="N73" s="73"/>
      <c r="O73" s="81" t="s">
        <v>563</v>
      </c>
      <c r="P73" s="81" t="s">
        <v>325</v>
      </c>
      <c r="Q73" s="84" t="s">
        <v>634</v>
      </c>
      <c r="R73" s="81" t="s">
        <v>389</v>
      </c>
      <c r="S73" s="81" t="s">
        <v>902</v>
      </c>
      <c r="T73" s="86" t="str">
        <f>HYPERLINK("http://www.youtube.com/channel/UCfgG-ovLKqB8k2KnSbx32Lw")</f>
        <v>http://www.youtube.com/channel/UCfgG-ovLKqB8k2KnSbx32Lw</v>
      </c>
      <c r="U73" s="81"/>
      <c r="V73" s="81" t="s">
        <v>1101</v>
      </c>
      <c r="W73" s="86" t="str">
        <f>HYPERLINK("https://www.youtube.com/watch?v=WHociTCrX48")</f>
        <v>https://www.youtube.com/watch?v=WHociTCrX48</v>
      </c>
      <c r="X73" s="81" t="s">
        <v>1183</v>
      </c>
      <c r="Y73" s="81">
        <v>1</v>
      </c>
      <c r="Z73" s="88">
        <v>43433.67141203704</v>
      </c>
      <c r="AA73" s="88">
        <v>43433.67141203704</v>
      </c>
      <c r="AB73" s="81"/>
      <c r="AC73" s="81"/>
      <c r="AD73" s="84" t="s">
        <v>1239</v>
      </c>
      <c r="AE73" s="82">
        <v>1</v>
      </c>
      <c r="AF73" s="83" t="str">
        <f>REPLACE(INDEX(GroupVertices[Group],MATCH(Edges[[#This Row],[Vertex 1]],GroupVertices[Vertex],0)),1,1,"")</f>
        <v>8</v>
      </c>
      <c r="AG73" s="83" t="str">
        <f>REPLACE(INDEX(GroupVertices[Group],MATCH(Edges[[#This Row],[Vertex 2]],GroupVertices[Vertex],0)),1,1,"")</f>
        <v>8</v>
      </c>
      <c r="AH73" s="111">
        <v>0</v>
      </c>
      <c r="AI73" s="112">
        <v>0</v>
      </c>
      <c r="AJ73" s="111">
        <v>0</v>
      </c>
      <c r="AK73" s="112">
        <v>0</v>
      </c>
      <c r="AL73" s="111">
        <v>0</v>
      </c>
      <c r="AM73" s="112">
        <v>0</v>
      </c>
      <c r="AN73" s="111">
        <v>2</v>
      </c>
      <c r="AO73" s="112">
        <v>100</v>
      </c>
      <c r="AP73" s="111">
        <v>2</v>
      </c>
    </row>
    <row r="74" spans="1:42" ht="15">
      <c r="A74" s="65" t="s">
        <v>390</v>
      </c>
      <c r="B74" s="65" t="s">
        <v>544</v>
      </c>
      <c r="C74" s="66" t="s">
        <v>2942</v>
      </c>
      <c r="D74" s="67">
        <v>3</v>
      </c>
      <c r="E74" s="68"/>
      <c r="F74" s="69">
        <v>40</v>
      </c>
      <c r="G74" s="66"/>
      <c r="H74" s="70"/>
      <c r="I74" s="71"/>
      <c r="J74" s="71"/>
      <c r="K74" s="35" t="s">
        <v>65</v>
      </c>
      <c r="L74" s="79">
        <v>74</v>
      </c>
      <c r="M74" s="79"/>
      <c r="N74" s="73"/>
      <c r="O74" s="81" t="s">
        <v>563</v>
      </c>
      <c r="P74" s="81" t="s">
        <v>325</v>
      </c>
      <c r="Q74" s="84" t="s">
        <v>635</v>
      </c>
      <c r="R74" s="81" t="s">
        <v>390</v>
      </c>
      <c r="S74" s="81" t="s">
        <v>903</v>
      </c>
      <c r="T74" s="86" t="str">
        <f>HYPERLINK("http://www.youtube.com/channel/UCqocO9ovci3JuSvsYKR36HA")</f>
        <v>http://www.youtube.com/channel/UCqocO9ovci3JuSvsYKR36HA</v>
      </c>
      <c r="U74" s="81"/>
      <c r="V74" s="81" t="s">
        <v>1102</v>
      </c>
      <c r="W74" s="86" t="str">
        <f>HYPERLINK("https://www.youtube.com/watch?v=aJuHtKjYySE")</f>
        <v>https://www.youtube.com/watch?v=aJuHtKjYySE</v>
      </c>
      <c r="X74" s="81" t="s">
        <v>1183</v>
      </c>
      <c r="Y74" s="81">
        <v>0</v>
      </c>
      <c r="Z74" s="88">
        <v>44694.41023148148</v>
      </c>
      <c r="AA74" s="88">
        <v>44694.41023148148</v>
      </c>
      <c r="AB74" s="81"/>
      <c r="AC74" s="81"/>
      <c r="AD74" s="84" t="s">
        <v>1239</v>
      </c>
      <c r="AE74" s="82">
        <v>1</v>
      </c>
      <c r="AF74" s="83" t="str">
        <f>REPLACE(INDEX(GroupVertices[Group],MATCH(Edges[[#This Row],[Vertex 1]],GroupVertices[Vertex],0)),1,1,"")</f>
        <v>20</v>
      </c>
      <c r="AG74" s="83" t="str">
        <f>REPLACE(INDEX(GroupVertices[Group],MATCH(Edges[[#This Row],[Vertex 2]],GroupVertices[Vertex],0)),1,1,"")</f>
        <v>20</v>
      </c>
      <c r="AH74" s="111">
        <v>0</v>
      </c>
      <c r="AI74" s="112">
        <v>0</v>
      </c>
      <c r="AJ74" s="111">
        <v>2</v>
      </c>
      <c r="AK74" s="112">
        <v>8.695652173913043</v>
      </c>
      <c r="AL74" s="111">
        <v>0</v>
      </c>
      <c r="AM74" s="112">
        <v>0</v>
      </c>
      <c r="AN74" s="111">
        <v>21</v>
      </c>
      <c r="AO74" s="112">
        <v>91.30434782608695</v>
      </c>
      <c r="AP74" s="111">
        <v>23</v>
      </c>
    </row>
    <row r="75" spans="1:42" ht="15">
      <c r="A75" s="65" t="s">
        <v>391</v>
      </c>
      <c r="B75" s="65" t="s">
        <v>546</v>
      </c>
      <c r="C75" s="66" t="s">
        <v>2942</v>
      </c>
      <c r="D75" s="67">
        <v>3</v>
      </c>
      <c r="E75" s="68"/>
      <c r="F75" s="69">
        <v>40</v>
      </c>
      <c r="G75" s="66"/>
      <c r="H75" s="70"/>
      <c r="I75" s="71"/>
      <c r="J75" s="71"/>
      <c r="K75" s="35" t="s">
        <v>65</v>
      </c>
      <c r="L75" s="79">
        <v>75</v>
      </c>
      <c r="M75" s="79"/>
      <c r="N75" s="73"/>
      <c r="O75" s="81" t="s">
        <v>563</v>
      </c>
      <c r="P75" s="81" t="s">
        <v>325</v>
      </c>
      <c r="Q75" s="84" t="s">
        <v>636</v>
      </c>
      <c r="R75" s="81" t="s">
        <v>391</v>
      </c>
      <c r="S75" s="81" t="s">
        <v>904</v>
      </c>
      <c r="T75" s="86" t="str">
        <f>HYPERLINK("http://www.youtube.com/channel/UCF7K5uOzm-xqTb96lpNt_Ow")</f>
        <v>http://www.youtube.com/channel/UCF7K5uOzm-xqTb96lpNt_Ow</v>
      </c>
      <c r="U75" s="81"/>
      <c r="V75" s="81" t="s">
        <v>1103</v>
      </c>
      <c r="W75" s="86" t="str">
        <f>HYPERLINK("https://www.youtube.com/watch?v=ZYLWHRa8Et4")</f>
        <v>https://www.youtube.com/watch?v=ZYLWHRa8Et4</v>
      </c>
      <c r="X75" s="81" t="s">
        <v>1183</v>
      </c>
      <c r="Y75" s="81">
        <v>0</v>
      </c>
      <c r="Z75" s="88">
        <v>40774.37510416667</v>
      </c>
      <c r="AA75" s="88">
        <v>40774.37510416667</v>
      </c>
      <c r="AB75" s="81"/>
      <c r="AC75" s="81"/>
      <c r="AD75" s="84" t="s">
        <v>1239</v>
      </c>
      <c r="AE75" s="82">
        <v>1</v>
      </c>
      <c r="AF75" s="83" t="str">
        <f>REPLACE(INDEX(GroupVertices[Group],MATCH(Edges[[#This Row],[Vertex 1]],GroupVertices[Vertex],0)),1,1,"")</f>
        <v>16</v>
      </c>
      <c r="AG75" s="83" t="str">
        <f>REPLACE(INDEX(GroupVertices[Group],MATCH(Edges[[#This Row],[Vertex 2]],GroupVertices[Vertex],0)),1,1,"")</f>
        <v>16</v>
      </c>
      <c r="AH75" s="111">
        <v>0</v>
      </c>
      <c r="AI75" s="112">
        <v>0</v>
      </c>
      <c r="AJ75" s="111">
        <v>0</v>
      </c>
      <c r="AK75" s="112">
        <v>0</v>
      </c>
      <c r="AL75" s="111">
        <v>0</v>
      </c>
      <c r="AM75" s="112">
        <v>0</v>
      </c>
      <c r="AN75" s="111">
        <v>17</v>
      </c>
      <c r="AO75" s="112">
        <v>100</v>
      </c>
      <c r="AP75" s="111">
        <v>17</v>
      </c>
    </row>
    <row r="76" spans="1:42" ht="15">
      <c r="A76" s="65" t="s">
        <v>392</v>
      </c>
      <c r="B76" s="65" t="s">
        <v>546</v>
      </c>
      <c r="C76" s="66" t="s">
        <v>2942</v>
      </c>
      <c r="D76" s="67">
        <v>3</v>
      </c>
      <c r="E76" s="68"/>
      <c r="F76" s="69">
        <v>40</v>
      </c>
      <c r="G76" s="66"/>
      <c r="H76" s="70"/>
      <c r="I76" s="71"/>
      <c r="J76" s="71"/>
      <c r="K76" s="35" t="s">
        <v>65</v>
      </c>
      <c r="L76" s="79">
        <v>76</v>
      </c>
      <c r="M76" s="79"/>
      <c r="N76" s="73"/>
      <c r="O76" s="81" t="s">
        <v>563</v>
      </c>
      <c r="P76" s="81" t="s">
        <v>325</v>
      </c>
      <c r="Q76" s="84" t="s">
        <v>637</v>
      </c>
      <c r="R76" s="81" t="s">
        <v>392</v>
      </c>
      <c r="S76" s="81" t="s">
        <v>905</v>
      </c>
      <c r="T76" s="86" t="str">
        <f>HYPERLINK("http://www.youtube.com/channel/UCXQR00oQ3fj5cTotWvRg0_Q")</f>
        <v>http://www.youtube.com/channel/UCXQR00oQ3fj5cTotWvRg0_Q</v>
      </c>
      <c r="U76" s="81"/>
      <c r="V76" s="81" t="s">
        <v>1103</v>
      </c>
      <c r="W76" s="86" t="str">
        <f>HYPERLINK("https://www.youtube.com/watch?v=ZYLWHRa8Et4")</f>
        <v>https://www.youtube.com/watch?v=ZYLWHRa8Et4</v>
      </c>
      <c r="X76" s="81" t="s">
        <v>1183</v>
      </c>
      <c r="Y76" s="81">
        <v>0</v>
      </c>
      <c r="Z76" s="88">
        <v>44108.264502314814</v>
      </c>
      <c r="AA76" s="88">
        <v>44108.264502314814</v>
      </c>
      <c r="AB76" s="81"/>
      <c r="AC76" s="81"/>
      <c r="AD76" s="84" t="s">
        <v>1239</v>
      </c>
      <c r="AE76" s="82">
        <v>1</v>
      </c>
      <c r="AF76" s="83" t="str">
        <f>REPLACE(INDEX(GroupVertices[Group],MATCH(Edges[[#This Row],[Vertex 1]],GroupVertices[Vertex],0)),1,1,"")</f>
        <v>16</v>
      </c>
      <c r="AG76" s="83" t="str">
        <f>REPLACE(INDEX(GroupVertices[Group],MATCH(Edges[[#This Row],[Vertex 2]],GroupVertices[Vertex],0)),1,1,"")</f>
        <v>16</v>
      </c>
      <c r="AH76" s="111">
        <v>0</v>
      </c>
      <c r="AI76" s="112">
        <v>0</v>
      </c>
      <c r="AJ76" s="111">
        <v>0</v>
      </c>
      <c r="AK76" s="112">
        <v>0</v>
      </c>
      <c r="AL76" s="111">
        <v>0</v>
      </c>
      <c r="AM76" s="112">
        <v>0</v>
      </c>
      <c r="AN76" s="111">
        <v>7</v>
      </c>
      <c r="AO76" s="112">
        <v>100</v>
      </c>
      <c r="AP76" s="111">
        <v>7</v>
      </c>
    </row>
    <row r="77" spans="1:42" ht="15">
      <c r="A77" s="65" t="s">
        <v>393</v>
      </c>
      <c r="B77" s="65" t="s">
        <v>548</v>
      </c>
      <c r="C77" s="66" t="s">
        <v>2942</v>
      </c>
      <c r="D77" s="67">
        <v>3</v>
      </c>
      <c r="E77" s="68"/>
      <c r="F77" s="69">
        <v>40</v>
      </c>
      <c r="G77" s="66"/>
      <c r="H77" s="70"/>
      <c r="I77" s="71"/>
      <c r="J77" s="71"/>
      <c r="K77" s="35" t="s">
        <v>65</v>
      </c>
      <c r="L77" s="79">
        <v>77</v>
      </c>
      <c r="M77" s="79"/>
      <c r="N77" s="73"/>
      <c r="O77" s="81" t="s">
        <v>563</v>
      </c>
      <c r="P77" s="81" t="s">
        <v>325</v>
      </c>
      <c r="Q77" s="84" t="s">
        <v>638</v>
      </c>
      <c r="R77" s="81" t="s">
        <v>393</v>
      </c>
      <c r="S77" s="81" t="s">
        <v>906</v>
      </c>
      <c r="T77" s="86" t="str">
        <f>HYPERLINK("http://www.youtube.com/channel/UCLwDXsPUfsO2ZTptCsSyXGg")</f>
        <v>http://www.youtube.com/channel/UCLwDXsPUfsO2ZTptCsSyXGg</v>
      </c>
      <c r="U77" s="81"/>
      <c r="V77" s="81" t="s">
        <v>1104</v>
      </c>
      <c r="W77" s="86" t="str">
        <f>HYPERLINK("https://www.youtube.com/watch?v=1VVN0ZlxXmI")</f>
        <v>https://www.youtube.com/watch?v=1VVN0ZlxXmI</v>
      </c>
      <c r="X77" s="81" t="s">
        <v>1183</v>
      </c>
      <c r="Y77" s="81">
        <v>0</v>
      </c>
      <c r="Z77" s="88">
        <v>42762.94252314815</v>
      </c>
      <c r="AA77" s="88">
        <v>42762.94252314815</v>
      </c>
      <c r="AB77" s="81"/>
      <c r="AC77" s="81"/>
      <c r="AD77" s="84" t="s">
        <v>1239</v>
      </c>
      <c r="AE77" s="82">
        <v>1</v>
      </c>
      <c r="AF77" s="83" t="str">
        <f>REPLACE(INDEX(GroupVertices[Group],MATCH(Edges[[#This Row],[Vertex 1]],GroupVertices[Vertex],0)),1,1,"")</f>
        <v>19</v>
      </c>
      <c r="AG77" s="83" t="str">
        <f>REPLACE(INDEX(GroupVertices[Group],MATCH(Edges[[#This Row],[Vertex 2]],GroupVertices[Vertex],0)),1,1,"")</f>
        <v>19</v>
      </c>
      <c r="AH77" s="111">
        <v>1</v>
      </c>
      <c r="AI77" s="112">
        <v>25</v>
      </c>
      <c r="AJ77" s="111">
        <v>0</v>
      </c>
      <c r="AK77" s="112">
        <v>0</v>
      </c>
      <c r="AL77" s="111">
        <v>0</v>
      </c>
      <c r="AM77" s="112">
        <v>0</v>
      </c>
      <c r="AN77" s="111">
        <v>3</v>
      </c>
      <c r="AO77" s="112">
        <v>75</v>
      </c>
      <c r="AP77" s="111">
        <v>4</v>
      </c>
    </row>
    <row r="78" spans="1:42" ht="15">
      <c r="A78" s="65" t="s">
        <v>394</v>
      </c>
      <c r="B78" s="65" t="s">
        <v>369</v>
      </c>
      <c r="C78" s="66" t="s">
        <v>2942</v>
      </c>
      <c r="D78" s="67">
        <v>3</v>
      </c>
      <c r="E78" s="68"/>
      <c r="F78" s="69">
        <v>40</v>
      </c>
      <c r="G78" s="66"/>
      <c r="H78" s="70"/>
      <c r="I78" s="71"/>
      <c r="J78" s="71"/>
      <c r="K78" s="35" t="s">
        <v>65</v>
      </c>
      <c r="L78" s="79">
        <v>78</v>
      </c>
      <c r="M78" s="79"/>
      <c r="N78" s="73"/>
      <c r="O78" s="81" t="s">
        <v>563</v>
      </c>
      <c r="P78" s="81" t="s">
        <v>325</v>
      </c>
      <c r="Q78" s="84" t="s">
        <v>639</v>
      </c>
      <c r="R78" s="81" t="s">
        <v>394</v>
      </c>
      <c r="S78" s="81" t="s">
        <v>907</v>
      </c>
      <c r="T78" s="86" t="str">
        <f>HYPERLINK("http://www.youtube.com/channel/UCpQ5U05w9q913jvPV-T8rlw")</f>
        <v>http://www.youtube.com/channel/UCpQ5U05w9q913jvPV-T8rlw</v>
      </c>
      <c r="U78" s="81"/>
      <c r="V78" s="81" t="s">
        <v>1105</v>
      </c>
      <c r="W78" s="86" t="str">
        <f>HYPERLINK("https://www.youtube.com/watch?v=lbb2lMCSg64")</f>
        <v>https://www.youtube.com/watch?v=lbb2lMCSg64</v>
      </c>
      <c r="X78" s="81" t="s">
        <v>1183</v>
      </c>
      <c r="Y78" s="81">
        <v>1</v>
      </c>
      <c r="Z78" s="88">
        <v>42434.59679398148</v>
      </c>
      <c r="AA78" s="88">
        <v>42434.59679398148</v>
      </c>
      <c r="AB78" s="81"/>
      <c r="AC78" s="81"/>
      <c r="AD78" s="84" t="s">
        <v>1239</v>
      </c>
      <c r="AE78" s="82">
        <v>1</v>
      </c>
      <c r="AF78" s="83" t="str">
        <f>REPLACE(INDEX(GroupVertices[Group],MATCH(Edges[[#This Row],[Vertex 1]],GroupVertices[Vertex],0)),1,1,"")</f>
        <v>1</v>
      </c>
      <c r="AG78" s="83" t="str">
        <f>REPLACE(INDEX(GroupVertices[Group],MATCH(Edges[[#This Row],[Vertex 2]],GroupVertices[Vertex],0)),1,1,"")</f>
        <v>1</v>
      </c>
      <c r="AH78" s="111">
        <v>0</v>
      </c>
      <c r="AI78" s="112">
        <v>0</v>
      </c>
      <c r="AJ78" s="111">
        <v>0</v>
      </c>
      <c r="AK78" s="112">
        <v>0</v>
      </c>
      <c r="AL78" s="111">
        <v>0</v>
      </c>
      <c r="AM78" s="112">
        <v>0</v>
      </c>
      <c r="AN78" s="111">
        <v>6</v>
      </c>
      <c r="AO78" s="112">
        <v>100</v>
      </c>
      <c r="AP78" s="111">
        <v>6</v>
      </c>
    </row>
    <row r="79" spans="1:42" ht="15">
      <c r="A79" s="65" t="s">
        <v>369</v>
      </c>
      <c r="B79" s="65" t="s">
        <v>395</v>
      </c>
      <c r="C79" s="66" t="s">
        <v>2942</v>
      </c>
      <c r="D79" s="67">
        <v>3</v>
      </c>
      <c r="E79" s="68"/>
      <c r="F79" s="69">
        <v>40</v>
      </c>
      <c r="G79" s="66"/>
      <c r="H79" s="70"/>
      <c r="I79" s="71"/>
      <c r="J79" s="71"/>
      <c r="K79" s="35" t="s">
        <v>66</v>
      </c>
      <c r="L79" s="79">
        <v>79</v>
      </c>
      <c r="M79" s="79"/>
      <c r="N79" s="73"/>
      <c r="O79" s="81" t="s">
        <v>564</v>
      </c>
      <c r="P79" s="81" t="s">
        <v>566</v>
      </c>
      <c r="Q79" s="84" t="s">
        <v>640</v>
      </c>
      <c r="R79" s="81" t="s">
        <v>369</v>
      </c>
      <c r="S79" s="81" t="s">
        <v>882</v>
      </c>
      <c r="T79" s="86" t="str">
        <f>HYPERLINK("http://www.youtube.com/channel/UCerAw4EfTOnYYxLLPZAzMxQ")</f>
        <v>http://www.youtube.com/channel/UCerAw4EfTOnYYxLLPZAzMxQ</v>
      </c>
      <c r="U79" s="81" t="s">
        <v>1052</v>
      </c>
      <c r="V79" s="81" t="s">
        <v>1105</v>
      </c>
      <c r="W79" s="86" t="str">
        <f>HYPERLINK("https://www.youtube.com/watch?v=lbb2lMCSg64")</f>
        <v>https://www.youtube.com/watch?v=lbb2lMCSg64</v>
      </c>
      <c r="X79" s="81" t="s">
        <v>1183</v>
      </c>
      <c r="Y79" s="81">
        <v>0</v>
      </c>
      <c r="Z79" s="88">
        <v>44343.57517361111</v>
      </c>
      <c r="AA79" s="88">
        <v>44343.57517361111</v>
      </c>
      <c r="AB79" s="81" t="s">
        <v>1192</v>
      </c>
      <c r="AC79" s="81" t="s">
        <v>1226</v>
      </c>
      <c r="AD79" s="84" t="s">
        <v>1239</v>
      </c>
      <c r="AE79" s="82">
        <v>1</v>
      </c>
      <c r="AF79" s="83" t="str">
        <f>REPLACE(INDEX(GroupVertices[Group],MATCH(Edges[[#This Row],[Vertex 1]],GroupVertices[Vertex],0)),1,1,"")</f>
        <v>1</v>
      </c>
      <c r="AG79" s="83" t="str">
        <f>REPLACE(INDEX(GroupVertices[Group],MATCH(Edges[[#This Row],[Vertex 2]],GroupVertices[Vertex],0)),1,1,"")</f>
        <v>1</v>
      </c>
      <c r="AH79" s="111">
        <v>0</v>
      </c>
      <c r="AI79" s="112">
        <v>0</v>
      </c>
      <c r="AJ79" s="111">
        <v>0</v>
      </c>
      <c r="AK79" s="112">
        <v>0</v>
      </c>
      <c r="AL79" s="111">
        <v>0</v>
      </c>
      <c r="AM79" s="112">
        <v>0</v>
      </c>
      <c r="AN79" s="111">
        <v>26</v>
      </c>
      <c r="AO79" s="112">
        <v>100</v>
      </c>
      <c r="AP79" s="111">
        <v>26</v>
      </c>
    </row>
    <row r="80" spans="1:42" ht="15">
      <c r="A80" s="65" t="s">
        <v>395</v>
      </c>
      <c r="B80" s="65" t="s">
        <v>369</v>
      </c>
      <c r="C80" s="66" t="s">
        <v>2942</v>
      </c>
      <c r="D80" s="67">
        <v>3</v>
      </c>
      <c r="E80" s="68"/>
      <c r="F80" s="69">
        <v>40</v>
      </c>
      <c r="G80" s="66"/>
      <c r="H80" s="70"/>
      <c r="I80" s="71"/>
      <c r="J80" s="71"/>
      <c r="K80" s="35" t="s">
        <v>66</v>
      </c>
      <c r="L80" s="79">
        <v>80</v>
      </c>
      <c r="M80" s="79"/>
      <c r="N80" s="73"/>
      <c r="O80" s="81" t="s">
        <v>563</v>
      </c>
      <c r="P80" s="81" t="s">
        <v>325</v>
      </c>
      <c r="Q80" s="84" t="s">
        <v>641</v>
      </c>
      <c r="R80" s="81" t="s">
        <v>395</v>
      </c>
      <c r="S80" s="81" t="s">
        <v>908</v>
      </c>
      <c r="T80" s="86" t="str">
        <f>HYPERLINK("http://www.youtube.com/channel/UC8qUxVyfs-OHn8fApXBqjaQ")</f>
        <v>http://www.youtube.com/channel/UC8qUxVyfs-OHn8fApXBqjaQ</v>
      </c>
      <c r="U80" s="81"/>
      <c r="V80" s="81" t="s">
        <v>1105</v>
      </c>
      <c r="W80" s="86" t="str">
        <f>HYPERLINK("https://www.youtube.com/watch?v=lbb2lMCSg64")</f>
        <v>https://www.youtube.com/watch?v=lbb2lMCSg64</v>
      </c>
      <c r="X80" s="81" t="s">
        <v>1183</v>
      </c>
      <c r="Y80" s="81">
        <v>0</v>
      </c>
      <c r="Z80" s="88">
        <v>44343.285787037035</v>
      </c>
      <c r="AA80" s="88">
        <v>44343.285787037035</v>
      </c>
      <c r="AB80" s="81"/>
      <c r="AC80" s="81"/>
      <c r="AD80" s="84" t="s">
        <v>1239</v>
      </c>
      <c r="AE80" s="82">
        <v>1</v>
      </c>
      <c r="AF80" s="83" t="str">
        <f>REPLACE(INDEX(GroupVertices[Group],MATCH(Edges[[#This Row],[Vertex 1]],GroupVertices[Vertex],0)),1,1,"")</f>
        <v>1</v>
      </c>
      <c r="AG80" s="83" t="str">
        <f>REPLACE(INDEX(GroupVertices[Group],MATCH(Edges[[#This Row],[Vertex 2]],GroupVertices[Vertex],0)),1,1,"")</f>
        <v>1</v>
      </c>
      <c r="AH80" s="111">
        <v>1</v>
      </c>
      <c r="AI80" s="112">
        <v>4.166666666666667</v>
      </c>
      <c r="AJ80" s="111">
        <v>0</v>
      </c>
      <c r="AK80" s="112">
        <v>0</v>
      </c>
      <c r="AL80" s="111">
        <v>0</v>
      </c>
      <c r="AM80" s="112">
        <v>0</v>
      </c>
      <c r="AN80" s="111">
        <v>23</v>
      </c>
      <c r="AO80" s="112">
        <v>95.83333333333333</v>
      </c>
      <c r="AP80" s="111">
        <v>24</v>
      </c>
    </row>
    <row r="81" spans="1:42" ht="15">
      <c r="A81" s="65" t="s">
        <v>369</v>
      </c>
      <c r="B81" s="65" t="s">
        <v>396</v>
      </c>
      <c r="C81" s="66" t="s">
        <v>2942</v>
      </c>
      <c r="D81" s="67">
        <v>3</v>
      </c>
      <c r="E81" s="68"/>
      <c r="F81" s="69">
        <v>40</v>
      </c>
      <c r="G81" s="66"/>
      <c r="H81" s="70"/>
      <c r="I81" s="71"/>
      <c r="J81" s="71"/>
      <c r="K81" s="35" t="s">
        <v>66</v>
      </c>
      <c r="L81" s="79">
        <v>81</v>
      </c>
      <c r="M81" s="79"/>
      <c r="N81" s="73"/>
      <c r="O81" s="81" t="s">
        <v>564</v>
      </c>
      <c r="P81" s="81" t="s">
        <v>566</v>
      </c>
      <c r="Q81" s="84" t="s">
        <v>642</v>
      </c>
      <c r="R81" s="81" t="s">
        <v>369</v>
      </c>
      <c r="S81" s="81" t="s">
        <v>882</v>
      </c>
      <c r="T81" s="86" t="str">
        <f>HYPERLINK("http://www.youtube.com/channel/UCerAw4EfTOnYYxLLPZAzMxQ")</f>
        <v>http://www.youtube.com/channel/UCerAw4EfTOnYYxLLPZAzMxQ</v>
      </c>
      <c r="U81" s="81" t="s">
        <v>1053</v>
      </c>
      <c r="V81" s="81" t="s">
        <v>1106</v>
      </c>
      <c r="W81" s="86" t="str">
        <f>HYPERLINK("https://www.youtube.com/watch?v=1yCjhTuLA1o")</f>
        <v>https://www.youtube.com/watch?v=1yCjhTuLA1o</v>
      </c>
      <c r="X81" s="81" t="s">
        <v>1183</v>
      </c>
      <c r="Y81" s="81">
        <v>0</v>
      </c>
      <c r="Z81" s="88">
        <v>42261.08634259259</v>
      </c>
      <c r="AA81" s="88">
        <v>42261.08634259259</v>
      </c>
      <c r="AB81" s="81"/>
      <c r="AC81" s="81"/>
      <c r="AD81" s="84" t="s">
        <v>1239</v>
      </c>
      <c r="AE81" s="82">
        <v>1</v>
      </c>
      <c r="AF81" s="83" t="str">
        <f>REPLACE(INDEX(GroupVertices[Group],MATCH(Edges[[#This Row],[Vertex 1]],GroupVertices[Vertex],0)),1,1,"")</f>
        <v>1</v>
      </c>
      <c r="AG81" s="83" t="str">
        <f>REPLACE(INDEX(GroupVertices[Group],MATCH(Edges[[#This Row],[Vertex 2]],GroupVertices[Vertex],0)),1,1,"")</f>
        <v>1</v>
      </c>
      <c r="AH81" s="111">
        <v>3</v>
      </c>
      <c r="AI81" s="112">
        <v>7.142857142857143</v>
      </c>
      <c r="AJ81" s="111">
        <v>1</v>
      </c>
      <c r="AK81" s="112">
        <v>2.380952380952381</v>
      </c>
      <c r="AL81" s="111">
        <v>0</v>
      </c>
      <c r="AM81" s="112">
        <v>0</v>
      </c>
      <c r="AN81" s="111">
        <v>38</v>
      </c>
      <c r="AO81" s="112">
        <v>90.47619047619048</v>
      </c>
      <c r="AP81" s="111">
        <v>42</v>
      </c>
    </row>
    <row r="82" spans="1:42" ht="15">
      <c r="A82" s="65" t="s">
        <v>396</v>
      </c>
      <c r="B82" s="65" t="s">
        <v>369</v>
      </c>
      <c r="C82" s="66" t="s">
        <v>2942</v>
      </c>
      <c r="D82" s="67">
        <v>3</v>
      </c>
      <c r="E82" s="68"/>
      <c r="F82" s="69">
        <v>40</v>
      </c>
      <c r="G82" s="66"/>
      <c r="H82" s="70"/>
      <c r="I82" s="71"/>
      <c r="J82" s="71"/>
      <c r="K82" s="35" t="s">
        <v>66</v>
      </c>
      <c r="L82" s="79">
        <v>82</v>
      </c>
      <c r="M82" s="79"/>
      <c r="N82" s="73"/>
      <c r="O82" s="81" t="s">
        <v>563</v>
      </c>
      <c r="P82" s="81" t="s">
        <v>325</v>
      </c>
      <c r="Q82" s="84" t="s">
        <v>643</v>
      </c>
      <c r="R82" s="81" t="s">
        <v>396</v>
      </c>
      <c r="S82" s="81" t="s">
        <v>909</v>
      </c>
      <c r="T82" s="86" t="str">
        <f>HYPERLINK("http://www.youtube.com/channel/UCC6RgeCUyUrLDxO1W6Rat-Q")</f>
        <v>http://www.youtube.com/channel/UCC6RgeCUyUrLDxO1W6Rat-Q</v>
      </c>
      <c r="U82" s="81"/>
      <c r="V82" s="81" t="s">
        <v>1106</v>
      </c>
      <c r="W82" s="86" t="str">
        <f>HYPERLINK("https://www.youtube.com/watch?v=1yCjhTuLA1o")</f>
        <v>https://www.youtube.com/watch?v=1yCjhTuLA1o</v>
      </c>
      <c r="X82" s="81" t="s">
        <v>1183</v>
      </c>
      <c r="Y82" s="81">
        <v>0</v>
      </c>
      <c r="Z82" s="88">
        <v>42082.94611111111</v>
      </c>
      <c r="AA82" s="88">
        <v>42082.94611111111</v>
      </c>
      <c r="AB82" s="81"/>
      <c r="AC82" s="81"/>
      <c r="AD82" s="84" t="s">
        <v>1239</v>
      </c>
      <c r="AE82" s="82">
        <v>1</v>
      </c>
      <c r="AF82" s="83" t="str">
        <f>REPLACE(INDEX(GroupVertices[Group],MATCH(Edges[[#This Row],[Vertex 1]],GroupVertices[Vertex],0)),1,1,"")</f>
        <v>1</v>
      </c>
      <c r="AG82" s="83" t="str">
        <f>REPLACE(INDEX(GroupVertices[Group],MATCH(Edges[[#This Row],[Vertex 2]],GroupVertices[Vertex],0)),1,1,"")</f>
        <v>1</v>
      </c>
      <c r="AH82" s="111">
        <v>0</v>
      </c>
      <c r="AI82" s="112">
        <v>0</v>
      </c>
      <c r="AJ82" s="111">
        <v>0</v>
      </c>
      <c r="AK82" s="112">
        <v>0</v>
      </c>
      <c r="AL82" s="111">
        <v>0</v>
      </c>
      <c r="AM82" s="112">
        <v>0</v>
      </c>
      <c r="AN82" s="111">
        <v>11</v>
      </c>
      <c r="AO82" s="112">
        <v>100</v>
      </c>
      <c r="AP82" s="111">
        <v>11</v>
      </c>
    </row>
    <row r="83" spans="1:42" ht="15">
      <c r="A83" s="65" t="s">
        <v>397</v>
      </c>
      <c r="B83" s="65" t="s">
        <v>398</v>
      </c>
      <c r="C83" s="66" t="s">
        <v>2944</v>
      </c>
      <c r="D83" s="67">
        <v>5.8</v>
      </c>
      <c r="E83" s="68"/>
      <c r="F83" s="69">
        <v>30</v>
      </c>
      <c r="G83" s="66"/>
      <c r="H83" s="70"/>
      <c r="I83" s="71"/>
      <c r="J83" s="71"/>
      <c r="K83" s="35" t="s">
        <v>65</v>
      </c>
      <c r="L83" s="79">
        <v>83</v>
      </c>
      <c r="M83" s="79"/>
      <c r="N83" s="73"/>
      <c r="O83" s="81" t="s">
        <v>564</v>
      </c>
      <c r="P83" s="81" t="s">
        <v>566</v>
      </c>
      <c r="Q83" s="84" t="s">
        <v>644</v>
      </c>
      <c r="R83" s="81" t="s">
        <v>397</v>
      </c>
      <c r="S83" s="81" t="s">
        <v>910</v>
      </c>
      <c r="T83" s="86" t="str">
        <f>HYPERLINK("http://www.youtube.com/channel/UCI8WWtGB9PmGhesq1QVChQg")</f>
        <v>http://www.youtube.com/channel/UCI8WWtGB9PmGhesq1QVChQg</v>
      </c>
      <c r="U83" s="81" t="s">
        <v>1054</v>
      </c>
      <c r="V83" s="81" t="s">
        <v>1106</v>
      </c>
      <c r="W83" s="86" t="str">
        <f>HYPERLINK("https://www.youtube.com/watch?v=")</f>
        <v>https://www.youtube.com/watch?v=</v>
      </c>
      <c r="X83" s="81" t="s">
        <v>1183</v>
      </c>
      <c r="Y83" s="81">
        <v>0</v>
      </c>
      <c r="Z83" s="88">
        <v>42322.559224537035</v>
      </c>
      <c r="AA83" s="88">
        <v>42322.559224537035</v>
      </c>
      <c r="AB83" s="81"/>
      <c r="AC83" s="81"/>
      <c r="AD83" s="84" t="s">
        <v>1239</v>
      </c>
      <c r="AE83" s="82">
        <v>3</v>
      </c>
      <c r="AF83" s="83" t="str">
        <f>REPLACE(INDEX(GroupVertices[Group],MATCH(Edges[[#This Row],[Vertex 1]],GroupVertices[Vertex],0)),1,1,"")</f>
        <v>18</v>
      </c>
      <c r="AG83" s="83" t="str">
        <f>REPLACE(INDEX(GroupVertices[Group],MATCH(Edges[[#This Row],[Vertex 2]],GroupVertices[Vertex],0)),1,1,"")</f>
        <v>18</v>
      </c>
      <c r="AH83" s="111">
        <v>1</v>
      </c>
      <c r="AI83" s="112">
        <v>4.545454545454546</v>
      </c>
      <c r="AJ83" s="111">
        <v>0</v>
      </c>
      <c r="AK83" s="112">
        <v>0</v>
      </c>
      <c r="AL83" s="111">
        <v>0</v>
      </c>
      <c r="AM83" s="112">
        <v>0</v>
      </c>
      <c r="AN83" s="111">
        <v>21</v>
      </c>
      <c r="AO83" s="112">
        <v>95.45454545454545</v>
      </c>
      <c r="AP83" s="111">
        <v>22</v>
      </c>
    </row>
    <row r="84" spans="1:42" ht="15">
      <c r="A84" s="65" t="s">
        <v>397</v>
      </c>
      <c r="B84" s="65" t="s">
        <v>398</v>
      </c>
      <c r="C84" s="66" t="s">
        <v>2944</v>
      </c>
      <c r="D84" s="67">
        <v>5.8</v>
      </c>
      <c r="E84" s="68"/>
      <c r="F84" s="69">
        <v>30</v>
      </c>
      <c r="G84" s="66"/>
      <c r="H84" s="70"/>
      <c r="I84" s="71"/>
      <c r="J84" s="71"/>
      <c r="K84" s="35" t="s">
        <v>65</v>
      </c>
      <c r="L84" s="79">
        <v>84</v>
      </c>
      <c r="M84" s="79"/>
      <c r="N84" s="73"/>
      <c r="O84" s="81" t="s">
        <v>564</v>
      </c>
      <c r="P84" s="81" t="s">
        <v>566</v>
      </c>
      <c r="Q84" s="84" t="s">
        <v>645</v>
      </c>
      <c r="R84" s="81" t="s">
        <v>397</v>
      </c>
      <c r="S84" s="81" t="s">
        <v>910</v>
      </c>
      <c r="T84" s="86" t="str">
        <f>HYPERLINK("http://www.youtube.com/channel/UCI8WWtGB9PmGhesq1QVChQg")</f>
        <v>http://www.youtube.com/channel/UCI8WWtGB9PmGhesq1QVChQg</v>
      </c>
      <c r="U84" s="81" t="s">
        <v>1054</v>
      </c>
      <c r="V84" s="81" t="s">
        <v>1106</v>
      </c>
      <c r="W84" s="86" t="str">
        <f>HYPERLINK("https://www.youtube.com/watch?v=")</f>
        <v>https://www.youtube.com/watch?v=</v>
      </c>
      <c r="X84" s="81" t="s">
        <v>1183</v>
      </c>
      <c r="Y84" s="81">
        <v>0</v>
      </c>
      <c r="Z84" s="88">
        <v>42322.608460648145</v>
      </c>
      <c r="AA84" s="88">
        <v>42322.608460648145</v>
      </c>
      <c r="AB84" s="81"/>
      <c r="AC84" s="81"/>
      <c r="AD84" s="84" t="s">
        <v>1239</v>
      </c>
      <c r="AE84" s="82">
        <v>3</v>
      </c>
      <c r="AF84" s="83" t="str">
        <f>REPLACE(INDEX(GroupVertices[Group],MATCH(Edges[[#This Row],[Vertex 1]],GroupVertices[Vertex],0)),1,1,"")</f>
        <v>18</v>
      </c>
      <c r="AG84" s="83" t="str">
        <f>REPLACE(INDEX(GroupVertices[Group],MATCH(Edges[[#This Row],[Vertex 2]],GroupVertices[Vertex],0)),1,1,"")</f>
        <v>18</v>
      </c>
      <c r="AH84" s="111">
        <v>0</v>
      </c>
      <c r="AI84" s="112">
        <v>0</v>
      </c>
      <c r="AJ84" s="111">
        <v>0</v>
      </c>
      <c r="AK84" s="112">
        <v>0</v>
      </c>
      <c r="AL84" s="111">
        <v>0</v>
      </c>
      <c r="AM84" s="112">
        <v>0</v>
      </c>
      <c r="AN84" s="111">
        <v>36</v>
      </c>
      <c r="AO84" s="112">
        <v>100</v>
      </c>
      <c r="AP84" s="111">
        <v>36</v>
      </c>
    </row>
    <row r="85" spans="1:42" ht="15">
      <c r="A85" s="65" t="s">
        <v>397</v>
      </c>
      <c r="B85" s="65" t="s">
        <v>398</v>
      </c>
      <c r="C85" s="66" t="s">
        <v>2944</v>
      </c>
      <c r="D85" s="67">
        <v>5.8</v>
      </c>
      <c r="E85" s="68"/>
      <c r="F85" s="69">
        <v>30</v>
      </c>
      <c r="G85" s="66"/>
      <c r="H85" s="70"/>
      <c r="I85" s="71"/>
      <c r="J85" s="71"/>
      <c r="K85" s="35" t="s">
        <v>65</v>
      </c>
      <c r="L85" s="79">
        <v>85</v>
      </c>
      <c r="M85" s="79"/>
      <c r="N85" s="73"/>
      <c r="O85" s="81" t="s">
        <v>564</v>
      </c>
      <c r="P85" s="81" t="s">
        <v>566</v>
      </c>
      <c r="Q85" s="84" t="s">
        <v>646</v>
      </c>
      <c r="R85" s="81" t="s">
        <v>397</v>
      </c>
      <c r="S85" s="81" t="s">
        <v>910</v>
      </c>
      <c r="T85" s="86" t="str">
        <f>HYPERLINK("http://www.youtube.com/channel/UCI8WWtGB9PmGhesq1QVChQg")</f>
        <v>http://www.youtube.com/channel/UCI8WWtGB9PmGhesq1QVChQg</v>
      </c>
      <c r="U85" s="81" t="s">
        <v>1054</v>
      </c>
      <c r="V85" s="81" t="s">
        <v>1106</v>
      </c>
      <c r="W85" s="86" t="str">
        <f>HYPERLINK("https://www.youtube.com/watch?v=")</f>
        <v>https://www.youtube.com/watch?v=</v>
      </c>
      <c r="X85" s="81" t="s">
        <v>1183</v>
      </c>
      <c r="Y85" s="81">
        <v>0</v>
      </c>
      <c r="Z85" s="88">
        <v>42322.685636574075</v>
      </c>
      <c r="AA85" s="88">
        <v>42322.685636574075</v>
      </c>
      <c r="AB85" s="81"/>
      <c r="AC85" s="81"/>
      <c r="AD85" s="84" t="s">
        <v>1239</v>
      </c>
      <c r="AE85" s="82">
        <v>3</v>
      </c>
      <c r="AF85" s="83" t="str">
        <f>REPLACE(INDEX(GroupVertices[Group],MATCH(Edges[[#This Row],[Vertex 1]],GroupVertices[Vertex],0)),1,1,"")</f>
        <v>18</v>
      </c>
      <c r="AG85" s="83" t="str">
        <f>REPLACE(INDEX(GroupVertices[Group],MATCH(Edges[[#This Row],[Vertex 2]],GroupVertices[Vertex],0)),1,1,"")</f>
        <v>18</v>
      </c>
      <c r="AH85" s="111">
        <v>1</v>
      </c>
      <c r="AI85" s="112">
        <v>7.142857142857143</v>
      </c>
      <c r="AJ85" s="111">
        <v>0</v>
      </c>
      <c r="AK85" s="112">
        <v>0</v>
      </c>
      <c r="AL85" s="111">
        <v>0</v>
      </c>
      <c r="AM85" s="112">
        <v>0</v>
      </c>
      <c r="AN85" s="111">
        <v>13</v>
      </c>
      <c r="AO85" s="112">
        <v>92.85714285714286</v>
      </c>
      <c r="AP85" s="111">
        <v>14</v>
      </c>
    </row>
    <row r="86" spans="1:42" ht="15">
      <c r="A86" s="65" t="s">
        <v>369</v>
      </c>
      <c r="B86" s="65" t="s">
        <v>398</v>
      </c>
      <c r="C86" s="66" t="s">
        <v>2945</v>
      </c>
      <c r="D86" s="67">
        <v>7.2</v>
      </c>
      <c r="E86" s="68"/>
      <c r="F86" s="69">
        <v>25</v>
      </c>
      <c r="G86" s="66"/>
      <c r="H86" s="70"/>
      <c r="I86" s="71"/>
      <c r="J86" s="71"/>
      <c r="K86" s="35" t="s">
        <v>66</v>
      </c>
      <c r="L86" s="79">
        <v>86</v>
      </c>
      <c r="M86" s="79"/>
      <c r="N86" s="73"/>
      <c r="O86" s="81" t="s">
        <v>564</v>
      </c>
      <c r="P86" s="81" t="s">
        <v>566</v>
      </c>
      <c r="Q86" s="84" t="s">
        <v>647</v>
      </c>
      <c r="R86" s="81" t="s">
        <v>369</v>
      </c>
      <c r="S86" s="81" t="s">
        <v>882</v>
      </c>
      <c r="T86" s="86" t="str">
        <f>HYPERLINK("http://www.youtube.com/channel/UCerAw4EfTOnYYxLLPZAzMxQ")</f>
        <v>http://www.youtube.com/channel/UCerAw4EfTOnYYxLLPZAzMxQ</v>
      </c>
      <c r="U86" s="81" t="s">
        <v>1054</v>
      </c>
      <c r="V86" s="81" t="s">
        <v>1106</v>
      </c>
      <c r="W86" s="86" t="str">
        <f>HYPERLINK("https://www.youtube.com/watch?v=")</f>
        <v>https://www.youtube.com/watch?v=</v>
      </c>
      <c r="X86" s="81" t="s">
        <v>1183</v>
      </c>
      <c r="Y86" s="81">
        <v>0</v>
      </c>
      <c r="Z86" s="88">
        <v>42288.14572916667</v>
      </c>
      <c r="AA86" s="88">
        <v>42288.14572916667</v>
      </c>
      <c r="AB86" s="81"/>
      <c r="AC86" s="81"/>
      <c r="AD86" s="84" t="s">
        <v>1239</v>
      </c>
      <c r="AE86" s="82">
        <v>4</v>
      </c>
      <c r="AF86" s="83" t="str">
        <f>REPLACE(INDEX(GroupVertices[Group],MATCH(Edges[[#This Row],[Vertex 1]],GroupVertices[Vertex],0)),1,1,"")</f>
        <v>1</v>
      </c>
      <c r="AG86" s="83" t="str">
        <f>REPLACE(INDEX(GroupVertices[Group],MATCH(Edges[[#This Row],[Vertex 2]],GroupVertices[Vertex],0)),1,1,"")</f>
        <v>18</v>
      </c>
      <c r="AH86" s="111">
        <v>2</v>
      </c>
      <c r="AI86" s="112">
        <v>8.333333333333334</v>
      </c>
      <c r="AJ86" s="111">
        <v>0</v>
      </c>
      <c r="AK86" s="112">
        <v>0</v>
      </c>
      <c r="AL86" s="111">
        <v>0</v>
      </c>
      <c r="AM86" s="112">
        <v>0</v>
      </c>
      <c r="AN86" s="111">
        <v>22</v>
      </c>
      <c r="AO86" s="112">
        <v>91.66666666666667</v>
      </c>
      <c r="AP86" s="111">
        <v>24</v>
      </c>
    </row>
    <row r="87" spans="1:42" ht="15">
      <c r="A87" s="65" t="s">
        <v>369</v>
      </c>
      <c r="B87" s="65" t="s">
        <v>398</v>
      </c>
      <c r="C87" s="66" t="s">
        <v>2945</v>
      </c>
      <c r="D87" s="67">
        <v>7.2</v>
      </c>
      <c r="E87" s="68"/>
      <c r="F87" s="69">
        <v>25</v>
      </c>
      <c r="G87" s="66"/>
      <c r="H87" s="70"/>
      <c r="I87" s="71"/>
      <c r="J87" s="71"/>
      <c r="K87" s="35" t="s">
        <v>66</v>
      </c>
      <c r="L87" s="79">
        <v>87</v>
      </c>
      <c r="M87" s="79"/>
      <c r="N87" s="73"/>
      <c r="O87" s="81" t="s">
        <v>564</v>
      </c>
      <c r="P87" s="81" t="s">
        <v>566</v>
      </c>
      <c r="Q87" s="84" t="s">
        <v>648</v>
      </c>
      <c r="R87" s="81" t="s">
        <v>369</v>
      </c>
      <c r="S87" s="81" t="s">
        <v>882</v>
      </c>
      <c r="T87" s="86" t="str">
        <f>HYPERLINK("http://www.youtube.com/channel/UCerAw4EfTOnYYxLLPZAzMxQ")</f>
        <v>http://www.youtube.com/channel/UCerAw4EfTOnYYxLLPZAzMxQ</v>
      </c>
      <c r="U87" s="81" t="s">
        <v>1054</v>
      </c>
      <c r="V87" s="81" t="s">
        <v>1106</v>
      </c>
      <c r="W87" s="86" t="str">
        <f>HYPERLINK("https://www.youtube.com/watch?v=")</f>
        <v>https://www.youtube.com/watch?v=</v>
      </c>
      <c r="X87" s="81" t="s">
        <v>1183</v>
      </c>
      <c r="Y87" s="81">
        <v>0</v>
      </c>
      <c r="Z87" s="88">
        <v>42322.57822916667</v>
      </c>
      <c r="AA87" s="88">
        <v>42322.57822916667</v>
      </c>
      <c r="AB87" s="81"/>
      <c r="AC87" s="81"/>
      <c r="AD87" s="84" t="s">
        <v>1239</v>
      </c>
      <c r="AE87" s="82">
        <v>4</v>
      </c>
      <c r="AF87" s="83" t="str">
        <f>REPLACE(INDEX(GroupVertices[Group],MATCH(Edges[[#This Row],[Vertex 1]],GroupVertices[Vertex],0)),1,1,"")</f>
        <v>1</v>
      </c>
      <c r="AG87" s="83" t="str">
        <f>REPLACE(INDEX(GroupVertices[Group],MATCH(Edges[[#This Row],[Vertex 2]],GroupVertices[Vertex],0)),1,1,"")</f>
        <v>18</v>
      </c>
      <c r="AH87" s="111">
        <v>1</v>
      </c>
      <c r="AI87" s="112">
        <v>2</v>
      </c>
      <c r="AJ87" s="111">
        <v>0</v>
      </c>
      <c r="AK87" s="112">
        <v>0</v>
      </c>
      <c r="AL87" s="111">
        <v>0</v>
      </c>
      <c r="AM87" s="112">
        <v>0</v>
      </c>
      <c r="AN87" s="111">
        <v>49</v>
      </c>
      <c r="AO87" s="112">
        <v>98</v>
      </c>
      <c r="AP87" s="111">
        <v>50</v>
      </c>
    </row>
    <row r="88" spans="1:42" ht="15">
      <c r="A88" s="65" t="s">
        <v>369</v>
      </c>
      <c r="B88" s="65" t="s">
        <v>398</v>
      </c>
      <c r="C88" s="66" t="s">
        <v>2945</v>
      </c>
      <c r="D88" s="67">
        <v>7.2</v>
      </c>
      <c r="E88" s="68"/>
      <c r="F88" s="69">
        <v>25</v>
      </c>
      <c r="G88" s="66"/>
      <c r="H88" s="70"/>
      <c r="I88" s="71"/>
      <c r="J88" s="71"/>
      <c r="K88" s="35" t="s">
        <v>66</v>
      </c>
      <c r="L88" s="79">
        <v>88</v>
      </c>
      <c r="M88" s="79"/>
      <c r="N88" s="73"/>
      <c r="O88" s="81" t="s">
        <v>564</v>
      </c>
      <c r="P88" s="81" t="s">
        <v>566</v>
      </c>
      <c r="Q88" s="84" t="s">
        <v>649</v>
      </c>
      <c r="R88" s="81" t="s">
        <v>369</v>
      </c>
      <c r="S88" s="81" t="s">
        <v>882</v>
      </c>
      <c r="T88" s="86" t="str">
        <f>HYPERLINK("http://www.youtube.com/channel/UCerAw4EfTOnYYxLLPZAzMxQ")</f>
        <v>http://www.youtube.com/channel/UCerAw4EfTOnYYxLLPZAzMxQ</v>
      </c>
      <c r="U88" s="81" t="s">
        <v>1054</v>
      </c>
      <c r="V88" s="81" t="s">
        <v>1106</v>
      </c>
      <c r="W88" s="86" t="str">
        <f>HYPERLINK("https://www.youtube.com/watch?v=")</f>
        <v>https://www.youtube.com/watch?v=</v>
      </c>
      <c r="X88" s="81" t="s">
        <v>1183</v>
      </c>
      <c r="Y88" s="81">
        <v>0</v>
      </c>
      <c r="Z88" s="88">
        <v>42322.622824074075</v>
      </c>
      <c r="AA88" s="88">
        <v>42322.622824074075</v>
      </c>
      <c r="AB88" s="81" t="s">
        <v>1193</v>
      </c>
      <c r="AC88" s="81" t="s">
        <v>1227</v>
      </c>
      <c r="AD88" s="84" t="s">
        <v>1239</v>
      </c>
      <c r="AE88" s="82">
        <v>4</v>
      </c>
      <c r="AF88" s="83" t="str">
        <f>REPLACE(INDEX(GroupVertices[Group],MATCH(Edges[[#This Row],[Vertex 1]],GroupVertices[Vertex],0)),1,1,"")</f>
        <v>1</v>
      </c>
      <c r="AG88" s="83" t="str">
        <f>REPLACE(INDEX(GroupVertices[Group],MATCH(Edges[[#This Row],[Vertex 2]],GroupVertices[Vertex],0)),1,1,"")</f>
        <v>18</v>
      </c>
      <c r="AH88" s="111">
        <v>7</v>
      </c>
      <c r="AI88" s="112">
        <v>3.4146341463414633</v>
      </c>
      <c r="AJ88" s="111">
        <v>3</v>
      </c>
      <c r="AK88" s="112">
        <v>1.4634146341463414</v>
      </c>
      <c r="AL88" s="111">
        <v>0</v>
      </c>
      <c r="AM88" s="112">
        <v>0</v>
      </c>
      <c r="AN88" s="111">
        <v>195</v>
      </c>
      <c r="AO88" s="112">
        <v>95.1219512195122</v>
      </c>
      <c r="AP88" s="111">
        <v>205</v>
      </c>
    </row>
    <row r="89" spans="1:42" ht="15">
      <c r="A89" s="65" t="s">
        <v>369</v>
      </c>
      <c r="B89" s="65" t="s">
        <v>398</v>
      </c>
      <c r="C89" s="66" t="s">
        <v>2945</v>
      </c>
      <c r="D89" s="67">
        <v>7.2</v>
      </c>
      <c r="E89" s="68"/>
      <c r="F89" s="69">
        <v>25</v>
      </c>
      <c r="G89" s="66"/>
      <c r="H89" s="70"/>
      <c r="I89" s="71"/>
      <c r="J89" s="71"/>
      <c r="K89" s="35" t="s">
        <v>66</v>
      </c>
      <c r="L89" s="79">
        <v>89</v>
      </c>
      <c r="M89" s="79"/>
      <c r="N89" s="73"/>
      <c r="O89" s="81" t="s">
        <v>564</v>
      </c>
      <c r="P89" s="81" t="s">
        <v>566</v>
      </c>
      <c r="Q89" s="84" t="s">
        <v>650</v>
      </c>
      <c r="R89" s="81" t="s">
        <v>369</v>
      </c>
      <c r="S89" s="81" t="s">
        <v>882</v>
      </c>
      <c r="T89" s="86" t="str">
        <f>HYPERLINK("http://www.youtube.com/channel/UCerAw4EfTOnYYxLLPZAzMxQ")</f>
        <v>http://www.youtube.com/channel/UCerAw4EfTOnYYxLLPZAzMxQ</v>
      </c>
      <c r="U89" s="81" t="s">
        <v>1054</v>
      </c>
      <c r="V89" s="81" t="s">
        <v>1106</v>
      </c>
      <c r="W89" s="86" t="str">
        <f>HYPERLINK("https://www.youtube.com/watch?v=")</f>
        <v>https://www.youtube.com/watch?v=</v>
      </c>
      <c r="X89" s="81" t="s">
        <v>1183</v>
      </c>
      <c r="Y89" s="81">
        <v>0</v>
      </c>
      <c r="Z89" s="88">
        <v>42322.63550925926</v>
      </c>
      <c r="AA89" s="88">
        <v>42322.63550925926</v>
      </c>
      <c r="AB89" s="81"/>
      <c r="AC89" s="81"/>
      <c r="AD89" s="84" t="s">
        <v>1239</v>
      </c>
      <c r="AE89" s="82">
        <v>4</v>
      </c>
      <c r="AF89" s="83" t="str">
        <f>REPLACE(INDEX(GroupVertices[Group],MATCH(Edges[[#This Row],[Vertex 1]],GroupVertices[Vertex],0)),1,1,"")</f>
        <v>1</v>
      </c>
      <c r="AG89" s="83" t="str">
        <f>REPLACE(INDEX(GroupVertices[Group],MATCH(Edges[[#This Row],[Vertex 2]],GroupVertices[Vertex],0)),1,1,"")</f>
        <v>18</v>
      </c>
      <c r="AH89" s="111">
        <v>1</v>
      </c>
      <c r="AI89" s="112">
        <v>3.4482758620689653</v>
      </c>
      <c r="AJ89" s="111">
        <v>0</v>
      </c>
      <c r="AK89" s="112">
        <v>0</v>
      </c>
      <c r="AL89" s="111">
        <v>0</v>
      </c>
      <c r="AM89" s="112">
        <v>0</v>
      </c>
      <c r="AN89" s="111">
        <v>28</v>
      </c>
      <c r="AO89" s="112">
        <v>96.55172413793103</v>
      </c>
      <c r="AP89" s="111">
        <v>29</v>
      </c>
    </row>
    <row r="90" spans="1:42" ht="15">
      <c r="A90" s="65" t="s">
        <v>398</v>
      </c>
      <c r="B90" s="65" t="s">
        <v>369</v>
      </c>
      <c r="C90" s="66" t="s">
        <v>2942</v>
      </c>
      <c r="D90" s="67">
        <v>3</v>
      </c>
      <c r="E90" s="68"/>
      <c r="F90" s="69">
        <v>40</v>
      </c>
      <c r="G90" s="66"/>
      <c r="H90" s="70"/>
      <c r="I90" s="71"/>
      <c r="J90" s="71"/>
      <c r="K90" s="35" t="s">
        <v>66</v>
      </c>
      <c r="L90" s="79">
        <v>90</v>
      </c>
      <c r="M90" s="79"/>
      <c r="N90" s="73"/>
      <c r="O90" s="81" t="s">
        <v>563</v>
      </c>
      <c r="P90" s="81" t="s">
        <v>325</v>
      </c>
      <c r="Q90" s="84" t="s">
        <v>651</v>
      </c>
      <c r="R90" s="81" t="s">
        <v>398</v>
      </c>
      <c r="S90" s="81" t="s">
        <v>911</v>
      </c>
      <c r="T90" s="86" t="str">
        <f>HYPERLINK("http://www.youtube.com/channel/UCUm577M0SQnlguRkdcfUa1Q")</f>
        <v>http://www.youtube.com/channel/UCUm577M0SQnlguRkdcfUa1Q</v>
      </c>
      <c r="U90" s="81"/>
      <c r="V90" s="81" t="s">
        <v>1106</v>
      </c>
      <c r="W90" s="86" t="str">
        <f>HYPERLINK("https://www.youtube.com/watch?v=1yCjhTuLA1o")</f>
        <v>https://www.youtube.com/watch?v=1yCjhTuLA1o</v>
      </c>
      <c r="X90" s="81" t="s">
        <v>1183</v>
      </c>
      <c r="Y90" s="81">
        <v>0</v>
      </c>
      <c r="Z90" s="88">
        <v>42288.07472222222</v>
      </c>
      <c r="AA90" s="88">
        <v>42288.07472222222</v>
      </c>
      <c r="AB90" s="81"/>
      <c r="AC90" s="81"/>
      <c r="AD90" s="84" t="s">
        <v>1239</v>
      </c>
      <c r="AE90" s="82">
        <v>1</v>
      </c>
      <c r="AF90" s="83" t="str">
        <f>REPLACE(INDEX(GroupVertices[Group],MATCH(Edges[[#This Row],[Vertex 1]],GroupVertices[Vertex],0)),1,1,"")</f>
        <v>18</v>
      </c>
      <c r="AG90" s="83" t="str">
        <f>REPLACE(INDEX(GroupVertices[Group],MATCH(Edges[[#This Row],[Vertex 2]],GroupVertices[Vertex],0)),1,1,"")</f>
        <v>1</v>
      </c>
      <c r="AH90" s="111">
        <v>0</v>
      </c>
      <c r="AI90" s="112">
        <v>0</v>
      </c>
      <c r="AJ90" s="111">
        <v>0</v>
      </c>
      <c r="AK90" s="112">
        <v>0</v>
      </c>
      <c r="AL90" s="111">
        <v>0</v>
      </c>
      <c r="AM90" s="112">
        <v>0</v>
      </c>
      <c r="AN90" s="111">
        <v>24</v>
      </c>
      <c r="AO90" s="112">
        <v>100</v>
      </c>
      <c r="AP90" s="111">
        <v>24</v>
      </c>
    </row>
    <row r="91" spans="1:42" ht="15">
      <c r="A91" s="65" t="s">
        <v>399</v>
      </c>
      <c r="B91" s="65" t="s">
        <v>369</v>
      </c>
      <c r="C91" s="66" t="s">
        <v>2942</v>
      </c>
      <c r="D91" s="67">
        <v>3</v>
      </c>
      <c r="E91" s="68"/>
      <c r="F91" s="69">
        <v>40</v>
      </c>
      <c r="G91" s="66"/>
      <c r="H91" s="70"/>
      <c r="I91" s="71"/>
      <c r="J91" s="71"/>
      <c r="K91" s="35" t="s">
        <v>65</v>
      </c>
      <c r="L91" s="79">
        <v>91</v>
      </c>
      <c r="M91" s="79"/>
      <c r="N91" s="73"/>
      <c r="O91" s="81" t="s">
        <v>563</v>
      </c>
      <c r="P91" s="81" t="s">
        <v>325</v>
      </c>
      <c r="Q91" s="84" t="s">
        <v>652</v>
      </c>
      <c r="R91" s="81" t="s">
        <v>399</v>
      </c>
      <c r="S91" s="81" t="s">
        <v>912</v>
      </c>
      <c r="T91" s="86" t="str">
        <f>HYPERLINK("http://www.youtube.com/channel/UCHBzTw6zFU-YYZ9ohpX9lKQ")</f>
        <v>http://www.youtube.com/channel/UCHBzTw6zFU-YYZ9ohpX9lKQ</v>
      </c>
      <c r="U91" s="81"/>
      <c r="V91" s="81" t="s">
        <v>1106</v>
      </c>
      <c r="W91" s="86" t="str">
        <f>HYPERLINK("https://www.youtube.com/watch?v=1yCjhTuLA1o")</f>
        <v>https://www.youtube.com/watch?v=1yCjhTuLA1o</v>
      </c>
      <c r="X91" s="81" t="s">
        <v>1183</v>
      </c>
      <c r="Y91" s="81">
        <v>0</v>
      </c>
      <c r="Z91" s="88">
        <v>42710.05001157407</v>
      </c>
      <c r="AA91" s="88">
        <v>42710.05001157407</v>
      </c>
      <c r="AB91" s="81"/>
      <c r="AC91" s="81"/>
      <c r="AD91" s="84" t="s">
        <v>1239</v>
      </c>
      <c r="AE91" s="82">
        <v>1</v>
      </c>
      <c r="AF91" s="83" t="str">
        <f>REPLACE(INDEX(GroupVertices[Group],MATCH(Edges[[#This Row],[Vertex 1]],GroupVertices[Vertex],0)),1,1,"")</f>
        <v>1</v>
      </c>
      <c r="AG91" s="83" t="str">
        <f>REPLACE(INDEX(GroupVertices[Group],MATCH(Edges[[#This Row],[Vertex 2]],GroupVertices[Vertex],0)),1,1,"")</f>
        <v>1</v>
      </c>
      <c r="AH91" s="111">
        <v>0</v>
      </c>
      <c r="AI91" s="112">
        <v>0</v>
      </c>
      <c r="AJ91" s="111">
        <v>1</v>
      </c>
      <c r="AK91" s="112">
        <v>5.555555555555555</v>
      </c>
      <c r="AL91" s="111">
        <v>0</v>
      </c>
      <c r="AM91" s="112">
        <v>0</v>
      </c>
      <c r="AN91" s="111">
        <v>17</v>
      </c>
      <c r="AO91" s="112">
        <v>94.44444444444444</v>
      </c>
      <c r="AP91" s="111">
        <v>18</v>
      </c>
    </row>
    <row r="92" spans="1:42" ht="15">
      <c r="A92" s="65" t="s">
        <v>400</v>
      </c>
      <c r="B92" s="65" t="s">
        <v>369</v>
      </c>
      <c r="C92" s="66" t="s">
        <v>2942</v>
      </c>
      <c r="D92" s="67">
        <v>3</v>
      </c>
      <c r="E92" s="68"/>
      <c r="F92" s="69">
        <v>40</v>
      </c>
      <c r="G92" s="66"/>
      <c r="H92" s="70"/>
      <c r="I92" s="71"/>
      <c r="J92" s="71"/>
      <c r="K92" s="35" t="s">
        <v>65</v>
      </c>
      <c r="L92" s="79">
        <v>92</v>
      </c>
      <c r="M92" s="79"/>
      <c r="N92" s="73"/>
      <c r="O92" s="81" t="s">
        <v>563</v>
      </c>
      <c r="P92" s="81" t="s">
        <v>325</v>
      </c>
      <c r="Q92" s="84" t="s">
        <v>653</v>
      </c>
      <c r="R92" s="81" t="s">
        <v>400</v>
      </c>
      <c r="S92" s="81" t="s">
        <v>913</v>
      </c>
      <c r="T92" s="86" t="str">
        <f>HYPERLINK("http://www.youtube.com/channel/UCoLCzvtVkU29FpAVVsAK-wg")</f>
        <v>http://www.youtube.com/channel/UCoLCzvtVkU29FpAVVsAK-wg</v>
      </c>
      <c r="U92" s="81"/>
      <c r="V92" s="81" t="s">
        <v>1107</v>
      </c>
      <c r="W92" s="86" t="str">
        <f>HYPERLINK("https://www.youtube.com/watch?v=AyMwPYpmYng")</f>
        <v>https://www.youtube.com/watch?v=AyMwPYpmYng</v>
      </c>
      <c r="X92" s="81" t="s">
        <v>1183</v>
      </c>
      <c r="Y92" s="81">
        <v>0</v>
      </c>
      <c r="Z92" s="88">
        <v>42500.84532407407</v>
      </c>
      <c r="AA92" s="88">
        <v>42500.84532407407</v>
      </c>
      <c r="AB92" s="81"/>
      <c r="AC92" s="81"/>
      <c r="AD92" s="84" t="s">
        <v>1239</v>
      </c>
      <c r="AE92" s="82">
        <v>1</v>
      </c>
      <c r="AF92" s="83" t="str">
        <f>REPLACE(INDEX(GroupVertices[Group],MATCH(Edges[[#This Row],[Vertex 1]],GroupVertices[Vertex],0)),1,1,"")</f>
        <v>1</v>
      </c>
      <c r="AG92" s="83" t="str">
        <f>REPLACE(INDEX(GroupVertices[Group],MATCH(Edges[[#This Row],[Vertex 2]],GroupVertices[Vertex],0)),1,1,"")</f>
        <v>1</v>
      </c>
      <c r="AH92" s="111">
        <v>1</v>
      </c>
      <c r="AI92" s="112">
        <v>7.6923076923076925</v>
      </c>
      <c r="AJ92" s="111">
        <v>1</v>
      </c>
      <c r="AK92" s="112">
        <v>7.6923076923076925</v>
      </c>
      <c r="AL92" s="111">
        <v>0</v>
      </c>
      <c r="AM92" s="112">
        <v>0</v>
      </c>
      <c r="AN92" s="111">
        <v>11</v>
      </c>
      <c r="AO92" s="112">
        <v>84.61538461538461</v>
      </c>
      <c r="AP92" s="111">
        <v>13</v>
      </c>
    </row>
    <row r="93" spans="1:42" ht="15">
      <c r="A93" s="65" t="s">
        <v>401</v>
      </c>
      <c r="B93" s="65" t="s">
        <v>369</v>
      </c>
      <c r="C93" s="66" t="s">
        <v>2942</v>
      </c>
      <c r="D93" s="67">
        <v>3</v>
      </c>
      <c r="E93" s="68"/>
      <c r="F93" s="69">
        <v>40</v>
      </c>
      <c r="G93" s="66"/>
      <c r="H93" s="70"/>
      <c r="I93" s="71"/>
      <c r="J93" s="71"/>
      <c r="K93" s="35" t="s">
        <v>65</v>
      </c>
      <c r="L93" s="79">
        <v>93</v>
      </c>
      <c r="M93" s="79"/>
      <c r="N93" s="73"/>
      <c r="O93" s="81" t="s">
        <v>563</v>
      </c>
      <c r="P93" s="81" t="s">
        <v>325</v>
      </c>
      <c r="Q93" s="84" t="s">
        <v>654</v>
      </c>
      <c r="R93" s="81" t="s">
        <v>401</v>
      </c>
      <c r="S93" s="81" t="s">
        <v>914</v>
      </c>
      <c r="T93" s="86" t="str">
        <f>HYPERLINK("http://www.youtube.com/channel/UC52SPb7BsvpH0HWbkSk8Jdg")</f>
        <v>http://www.youtube.com/channel/UC52SPb7BsvpH0HWbkSk8Jdg</v>
      </c>
      <c r="U93" s="81"/>
      <c r="V93" s="81" t="s">
        <v>1107</v>
      </c>
      <c r="W93" s="86" t="str">
        <f>HYPERLINK("https://www.youtube.com/watch?v=AyMwPYpmYng")</f>
        <v>https://www.youtube.com/watch?v=AyMwPYpmYng</v>
      </c>
      <c r="X93" s="81" t="s">
        <v>1183</v>
      </c>
      <c r="Y93" s="81">
        <v>0</v>
      </c>
      <c r="Z93" s="88">
        <v>42880.882523148146</v>
      </c>
      <c r="AA93" s="88">
        <v>42880.882523148146</v>
      </c>
      <c r="AB93" s="81"/>
      <c r="AC93" s="81"/>
      <c r="AD93" s="84" t="s">
        <v>1239</v>
      </c>
      <c r="AE93" s="82">
        <v>1</v>
      </c>
      <c r="AF93" s="83" t="str">
        <f>REPLACE(INDEX(GroupVertices[Group],MATCH(Edges[[#This Row],[Vertex 1]],GroupVertices[Vertex],0)),1,1,"")</f>
        <v>1</v>
      </c>
      <c r="AG93" s="83" t="str">
        <f>REPLACE(INDEX(GroupVertices[Group],MATCH(Edges[[#This Row],[Vertex 2]],GroupVertices[Vertex],0)),1,1,"")</f>
        <v>1</v>
      </c>
      <c r="AH93" s="111">
        <v>1</v>
      </c>
      <c r="AI93" s="112">
        <v>33.333333333333336</v>
      </c>
      <c r="AJ93" s="111">
        <v>0</v>
      </c>
      <c r="AK93" s="112">
        <v>0</v>
      </c>
      <c r="AL93" s="111">
        <v>0</v>
      </c>
      <c r="AM93" s="112">
        <v>0</v>
      </c>
      <c r="AN93" s="111">
        <v>2</v>
      </c>
      <c r="AO93" s="112">
        <v>66.66666666666667</v>
      </c>
      <c r="AP93" s="111">
        <v>3</v>
      </c>
    </row>
    <row r="94" spans="1:42" ht="15">
      <c r="A94" s="65" t="s">
        <v>402</v>
      </c>
      <c r="B94" s="65" t="s">
        <v>369</v>
      </c>
      <c r="C94" s="66" t="s">
        <v>2942</v>
      </c>
      <c r="D94" s="67">
        <v>3</v>
      </c>
      <c r="E94" s="68"/>
      <c r="F94" s="69">
        <v>40</v>
      </c>
      <c r="G94" s="66"/>
      <c r="H94" s="70"/>
      <c r="I94" s="71"/>
      <c r="J94" s="71"/>
      <c r="K94" s="35" t="s">
        <v>65</v>
      </c>
      <c r="L94" s="79">
        <v>94</v>
      </c>
      <c r="M94" s="79"/>
      <c r="N94" s="73"/>
      <c r="O94" s="81" t="s">
        <v>563</v>
      </c>
      <c r="P94" s="81" t="s">
        <v>325</v>
      </c>
      <c r="Q94" s="84" t="s">
        <v>655</v>
      </c>
      <c r="R94" s="81" t="s">
        <v>402</v>
      </c>
      <c r="S94" s="81" t="s">
        <v>915</v>
      </c>
      <c r="T94" s="86" t="str">
        <f>HYPERLINK("http://www.youtube.com/channel/UCbldxxrB86AYD-2LJsgqpOA")</f>
        <v>http://www.youtube.com/channel/UCbldxxrB86AYD-2LJsgqpOA</v>
      </c>
      <c r="U94" s="81"/>
      <c r="V94" s="81" t="s">
        <v>1107</v>
      </c>
      <c r="W94" s="86" t="str">
        <f>HYPERLINK("https://www.youtube.com/watch?v=AyMwPYpmYng")</f>
        <v>https://www.youtube.com/watch?v=AyMwPYpmYng</v>
      </c>
      <c r="X94" s="81" t="s">
        <v>1183</v>
      </c>
      <c r="Y94" s="81">
        <v>0</v>
      </c>
      <c r="Z94" s="88">
        <v>43132.59974537037</v>
      </c>
      <c r="AA94" s="88">
        <v>43132.59974537037</v>
      </c>
      <c r="AB94" s="81"/>
      <c r="AC94" s="81"/>
      <c r="AD94" s="84" t="s">
        <v>1239</v>
      </c>
      <c r="AE94" s="82">
        <v>1</v>
      </c>
      <c r="AF94" s="83" t="str">
        <f>REPLACE(INDEX(GroupVertices[Group],MATCH(Edges[[#This Row],[Vertex 1]],GroupVertices[Vertex],0)),1,1,"")</f>
        <v>1</v>
      </c>
      <c r="AG94" s="83" t="str">
        <f>REPLACE(INDEX(GroupVertices[Group],MATCH(Edges[[#This Row],[Vertex 2]],GroupVertices[Vertex],0)),1,1,"")</f>
        <v>1</v>
      </c>
      <c r="AH94" s="111">
        <v>1</v>
      </c>
      <c r="AI94" s="112">
        <v>2.857142857142857</v>
      </c>
      <c r="AJ94" s="111">
        <v>0</v>
      </c>
      <c r="AK94" s="112">
        <v>0</v>
      </c>
      <c r="AL94" s="111">
        <v>0</v>
      </c>
      <c r="AM94" s="112">
        <v>0</v>
      </c>
      <c r="AN94" s="111">
        <v>34</v>
      </c>
      <c r="AO94" s="112">
        <v>97.14285714285714</v>
      </c>
      <c r="AP94" s="111">
        <v>35</v>
      </c>
    </row>
    <row r="95" spans="1:42" ht="15">
      <c r="A95" s="65" t="s">
        <v>403</v>
      </c>
      <c r="B95" s="65" t="s">
        <v>550</v>
      </c>
      <c r="C95" s="66" t="s">
        <v>2942</v>
      </c>
      <c r="D95" s="67">
        <v>3</v>
      </c>
      <c r="E95" s="68"/>
      <c r="F95" s="69">
        <v>40</v>
      </c>
      <c r="G95" s="66"/>
      <c r="H95" s="70"/>
      <c r="I95" s="71"/>
      <c r="J95" s="71"/>
      <c r="K95" s="35" t="s">
        <v>65</v>
      </c>
      <c r="L95" s="79">
        <v>95</v>
      </c>
      <c r="M95" s="79"/>
      <c r="N95" s="73"/>
      <c r="O95" s="81" t="s">
        <v>563</v>
      </c>
      <c r="P95" s="81" t="s">
        <v>325</v>
      </c>
      <c r="Q95" s="84" t="s">
        <v>656</v>
      </c>
      <c r="R95" s="81" t="s">
        <v>403</v>
      </c>
      <c r="S95" s="81" t="s">
        <v>916</v>
      </c>
      <c r="T95" s="86" t="str">
        <f>HYPERLINK("http://www.youtube.com/channel/UC0qJaSE8JW7BoCYedij1fPg")</f>
        <v>http://www.youtube.com/channel/UC0qJaSE8JW7BoCYedij1fPg</v>
      </c>
      <c r="U95" s="81"/>
      <c r="V95" s="81" t="s">
        <v>1108</v>
      </c>
      <c r="W95" s="86" t="str">
        <f>HYPERLINK("https://www.youtube.com/watch?v=tzkLBf9t7MY")</f>
        <v>https://www.youtube.com/watch?v=tzkLBf9t7MY</v>
      </c>
      <c r="X95" s="81" t="s">
        <v>1183</v>
      </c>
      <c r="Y95" s="81">
        <v>0</v>
      </c>
      <c r="Z95" s="88">
        <v>42096.5484375</v>
      </c>
      <c r="AA95" s="88">
        <v>42096.5484375</v>
      </c>
      <c r="AB95" s="81"/>
      <c r="AC95" s="81"/>
      <c r="AD95" s="84" t="s">
        <v>1239</v>
      </c>
      <c r="AE95" s="82">
        <v>1</v>
      </c>
      <c r="AF95" s="83" t="str">
        <f>REPLACE(INDEX(GroupVertices[Group],MATCH(Edges[[#This Row],[Vertex 1]],GroupVertices[Vertex],0)),1,1,"")</f>
        <v>10</v>
      </c>
      <c r="AG95" s="83" t="str">
        <f>REPLACE(INDEX(GroupVertices[Group],MATCH(Edges[[#This Row],[Vertex 2]],GroupVertices[Vertex],0)),1,1,"")</f>
        <v>10</v>
      </c>
      <c r="AH95" s="111">
        <v>2</v>
      </c>
      <c r="AI95" s="112">
        <v>12.5</v>
      </c>
      <c r="AJ95" s="111">
        <v>0</v>
      </c>
      <c r="AK95" s="112">
        <v>0</v>
      </c>
      <c r="AL95" s="111">
        <v>0</v>
      </c>
      <c r="AM95" s="112">
        <v>0</v>
      </c>
      <c r="AN95" s="111">
        <v>14</v>
      </c>
      <c r="AO95" s="112">
        <v>87.5</v>
      </c>
      <c r="AP95" s="111">
        <v>16</v>
      </c>
    </row>
    <row r="96" spans="1:42" ht="15">
      <c r="A96" s="65" t="s">
        <v>404</v>
      </c>
      <c r="B96" s="65" t="s">
        <v>550</v>
      </c>
      <c r="C96" s="66" t="s">
        <v>2942</v>
      </c>
      <c r="D96" s="67">
        <v>3</v>
      </c>
      <c r="E96" s="68"/>
      <c r="F96" s="69">
        <v>40</v>
      </c>
      <c r="G96" s="66"/>
      <c r="H96" s="70"/>
      <c r="I96" s="71"/>
      <c r="J96" s="71"/>
      <c r="K96" s="35" t="s">
        <v>65</v>
      </c>
      <c r="L96" s="79">
        <v>96</v>
      </c>
      <c r="M96" s="79"/>
      <c r="N96" s="73"/>
      <c r="O96" s="81" t="s">
        <v>563</v>
      </c>
      <c r="P96" s="81" t="s">
        <v>325</v>
      </c>
      <c r="Q96" s="84" t="s">
        <v>657</v>
      </c>
      <c r="R96" s="81" t="s">
        <v>404</v>
      </c>
      <c r="S96" s="81" t="s">
        <v>917</v>
      </c>
      <c r="T96" s="86" t="str">
        <f>HYPERLINK("http://www.youtube.com/channel/UCXFOCi3E8fm4KWk7KA1v-FA")</f>
        <v>http://www.youtube.com/channel/UCXFOCi3E8fm4KWk7KA1v-FA</v>
      </c>
      <c r="U96" s="81"/>
      <c r="V96" s="81" t="s">
        <v>1108</v>
      </c>
      <c r="W96" s="86" t="str">
        <f>HYPERLINK("https://www.youtube.com/watch?v=tzkLBf9t7MY")</f>
        <v>https://www.youtube.com/watch?v=tzkLBf9t7MY</v>
      </c>
      <c r="X96" s="81" t="s">
        <v>1183</v>
      </c>
      <c r="Y96" s="81">
        <v>0</v>
      </c>
      <c r="Z96" s="88">
        <v>42542.594502314816</v>
      </c>
      <c r="AA96" s="88">
        <v>42542.594502314816</v>
      </c>
      <c r="AB96" s="81"/>
      <c r="AC96" s="81"/>
      <c r="AD96" s="84" t="s">
        <v>1239</v>
      </c>
      <c r="AE96" s="82">
        <v>1</v>
      </c>
      <c r="AF96" s="83" t="str">
        <f>REPLACE(INDEX(GroupVertices[Group],MATCH(Edges[[#This Row],[Vertex 1]],GroupVertices[Vertex],0)),1,1,"")</f>
        <v>10</v>
      </c>
      <c r="AG96" s="83" t="str">
        <f>REPLACE(INDEX(GroupVertices[Group],MATCH(Edges[[#This Row],[Vertex 2]],GroupVertices[Vertex],0)),1,1,"")</f>
        <v>10</v>
      </c>
      <c r="AH96" s="111">
        <v>2</v>
      </c>
      <c r="AI96" s="112">
        <v>16.666666666666668</v>
      </c>
      <c r="AJ96" s="111">
        <v>0</v>
      </c>
      <c r="AK96" s="112">
        <v>0</v>
      </c>
      <c r="AL96" s="111">
        <v>0</v>
      </c>
      <c r="AM96" s="112">
        <v>0</v>
      </c>
      <c r="AN96" s="111">
        <v>10</v>
      </c>
      <c r="AO96" s="112">
        <v>83.33333333333333</v>
      </c>
      <c r="AP96" s="111">
        <v>12</v>
      </c>
    </row>
    <row r="97" spans="1:42" ht="15">
      <c r="A97" s="65" t="s">
        <v>405</v>
      </c>
      <c r="B97" s="65" t="s">
        <v>550</v>
      </c>
      <c r="C97" s="66" t="s">
        <v>2942</v>
      </c>
      <c r="D97" s="67">
        <v>3</v>
      </c>
      <c r="E97" s="68"/>
      <c r="F97" s="69">
        <v>40</v>
      </c>
      <c r="G97" s="66"/>
      <c r="H97" s="70"/>
      <c r="I97" s="71"/>
      <c r="J97" s="71"/>
      <c r="K97" s="35" t="s">
        <v>65</v>
      </c>
      <c r="L97" s="79">
        <v>97</v>
      </c>
      <c r="M97" s="79"/>
      <c r="N97" s="73"/>
      <c r="O97" s="81" t="s">
        <v>563</v>
      </c>
      <c r="P97" s="81" t="s">
        <v>325</v>
      </c>
      <c r="Q97" s="84" t="s">
        <v>658</v>
      </c>
      <c r="R97" s="81" t="s">
        <v>405</v>
      </c>
      <c r="S97" s="81" t="s">
        <v>918</v>
      </c>
      <c r="T97" s="86" t="str">
        <f>HYPERLINK("http://www.youtube.com/channel/UCywWdXzN6JZzrDM3WWtIcdA")</f>
        <v>http://www.youtube.com/channel/UCywWdXzN6JZzrDM3WWtIcdA</v>
      </c>
      <c r="U97" s="81"/>
      <c r="V97" s="81" t="s">
        <v>1108</v>
      </c>
      <c r="W97" s="86" t="str">
        <f>HYPERLINK("https://www.youtube.com/watch?v=tzkLBf9t7MY")</f>
        <v>https://www.youtube.com/watch?v=tzkLBf9t7MY</v>
      </c>
      <c r="X97" s="81" t="s">
        <v>1183</v>
      </c>
      <c r="Y97" s="81">
        <v>0</v>
      </c>
      <c r="Z97" s="88">
        <v>42905.611863425926</v>
      </c>
      <c r="AA97" s="88">
        <v>42905.611863425926</v>
      </c>
      <c r="AB97" s="81"/>
      <c r="AC97" s="81"/>
      <c r="AD97" s="84" t="s">
        <v>1239</v>
      </c>
      <c r="AE97" s="82">
        <v>1</v>
      </c>
      <c r="AF97" s="83" t="str">
        <f>REPLACE(INDEX(GroupVertices[Group],MATCH(Edges[[#This Row],[Vertex 1]],GroupVertices[Vertex],0)),1,1,"")</f>
        <v>10</v>
      </c>
      <c r="AG97" s="83" t="str">
        <f>REPLACE(INDEX(GroupVertices[Group],MATCH(Edges[[#This Row],[Vertex 2]],GroupVertices[Vertex],0)),1,1,"")</f>
        <v>10</v>
      </c>
      <c r="AH97" s="111">
        <v>1</v>
      </c>
      <c r="AI97" s="112">
        <v>5.555555555555555</v>
      </c>
      <c r="AJ97" s="111">
        <v>0</v>
      </c>
      <c r="AK97" s="112">
        <v>0</v>
      </c>
      <c r="AL97" s="111">
        <v>0</v>
      </c>
      <c r="AM97" s="112">
        <v>0</v>
      </c>
      <c r="AN97" s="111">
        <v>17</v>
      </c>
      <c r="AO97" s="112">
        <v>94.44444444444444</v>
      </c>
      <c r="AP97" s="111">
        <v>18</v>
      </c>
    </row>
    <row r="98" spans="1:42" ht="15">
      <c r="A98" s="65" t="s">
        <v>406</v>
      </c>
      <c r="B98" s="65" t="s">
        <v>550</v>
      </c>
      <c r="C98" s="66" t="s">
        <v>2942</v>
      </c>
      <c r="D98" s="67">
        <v>3</v>
      </c>
      <c r="E98" s="68"/>
      <c r="F98" s="69">
        <v>40</v>
      </c>
      <c r="G98" s="66"/>
      <c r="H98" s="70"/>
      <c r="I98" s="71"/>
      <c r="J98" s="71"/>
      <c r="K98" s="35" t="s">
        <v>65</v>
      </c>
      <c r="L98" s="79">
        <v>98</v>
      </c>
      <c r="M98" s="79"/>
      <c r="N98" s="73"/>
      <c r="O98" s="81" t="s">
        <v>563</v>
      </c>
      <c r="P98" s="81" t="s">
        <v>325</v>
      </c>
      <c r="Q98" s="84" t="s">
        <v>659</v>
      </c>
      <c r="R98" s="81" t="s">
        <v>406</v>
      </c>
      <c r="S98" s="81" t="s">
        <v>919</v>
      </c>
      <c r="T98" s="86" t="str">
        <f>HYPERLINK("http://www.youtube.com/channel/UCIz82_qILaDCMBLYsqErOOw")</f>
        <v>http://www.youtube.com/channel/UCIz82_qILaDCMBLYsqErOOw</v>
      </c>
      <c r="U98" s="81"/>
      <c r="V98" s="81" t="s">
        <v>1108</v>
      </c>
      <c r="W98" s="86" t="str">
        <f>HYPERLINK("https://www.youtube.com/watch?v=tzkLBf9t7MY")</f>
        <v>https://www.youtube.com/watch?v=tzkLBf9t7MY</v>
      </c>
      <c r="X98" s="81" t="s">
        <v>1183</v>
      </c>
      <c r="Y98" s="81">
        <v>0</v>
      </c>
      <c r="Z98" s="88">
        <v>43061.2003587963</v>
      </c>
      <c r="AA98" s="88">
        <v>43061.2003587963</v>
      </c>
      <c r="AB98" s="81"/>
      <c r="AC98" s="81"/>
      <c r="AD98" s="84" t="s">
        <v>1239</v>
      </c>
      <c r="AE98" s="82">
        <v>1</v>
      </c>
      <c r="AF98" s="83" t="str">
        <f>REPLACE(INDEX(GroupVertices[Group],MATCH(Edges[[#This Row],[Vertex 1]],GroupVertices[Vertex],0)),1,1,"")</f>
        <v>10</v>
      </c>
      <c r="AG98" s="83" t="str">
        <f>REPLACE(INDEX(GroupVertices[Group],MATCH(Edges[[#This Row],[Vertex 2]],GroupVertices[Vertex],0)),1,1,"")</f>
        <v>10</v>
      </c>
      <c r="AH98" s="111">
        <v>1</v>
      </c>
      <c r="AI98" s="112">
        <v>4</v>
      </c>
      <c r="AJ98" s="111">
        <v>0</v>
      </c>
      <c r="AK98" s="112">
        <v>0</v>
      </c>
      <c r="AL98" s="111">
        <v>0</v>
      </c>
      <c r="AM98" s="112">
        <v>0</v>
      </c>
      <c r="AN98" s="111">
        <v>24</v>
      </c>
      <c r="AO98" s="112">
        <v>96</v>
      </c>
      <c r="AP98" s="111">
        <v>25</v>
      </c>
    </row>
    <row r="99" spans="1:42" ht="15">
      <c r="A99" s="65" t="s">
        <v>407</v>
      </c>
      <c r="B99" s="65" t="s">
        <v>550</v>
      </c>
      <c r="C99" s="66" t="s">
        <v>2942</v>
      </c>
      <c r="D99" s="67">
        <v>3</v>
      </c>
      <c r="E99" s="68"/>
      <c r="F99" s="69">
        <v>40</v>
      </c>
      <c r="G99" s="66"/>
      <c r="H99" s="70"/>
      <c r="I99" s="71"/>
      <c r="J99" s="71"/>
      <c r="K99" s="35" t="s">
        <v>65</v>
      </c>
      <c r="L99" s="79">
        <v>99</v>
      </c>
      <c r="M99" s="79"/>
      <c r="N99" s="73"/>
      <c r="O99" s="81" t="s">
        <v>563</v>
      </c>
      <c r="P99" s="81" t="s">
        <v>325</v>
      </c>
      <c r="Q99" s="84" t="s">
        <v>660</v>
      </c>
      <c r="R99" s="81" t="s">
        <v>407</v>
      </c>
      <c r="S99" s="81" t="s">
        <v>920</v>
      </c>
      <c r="T99" s="86" t="str">
        <f>HYPERLINK("http://www.youtube.com/channel/UC1G7AZFqSOf2CIZBzfBNmVQ")</f>
        <v>http://www.youtube.com/channel/UC1G7AZFqSOf2CIZBzfBNmVQ</v>
      </c>
      <c r="U99" s="81"/>
      <c r="V99" s="81" t="s">
        <v>1108</v>
      </c>
      <c r="W99" s="86" t="str">
        <f>HYPERLINK("https://www.youtube.com/watch?v=tzkLBf9t7MY")</f>
        <v>https://www.youtube.com/watch?v=tzkLBf9t7MY</v>
      </c>
      <c r="X99" s="81" t="s">
        <v>1183</v>
      </c>
      <c r="Y99" s="81">
        <v>0</v>
      </c>
      <c r="Z99" s="88">
        <v>43289.931863425925</v>
      </c>
      <c r="AA99" s="88">
        <v>43289.931863425925</v>
      </c>
      <c r="AB99" s="81" t="s">
        <v>1194</v>
      </c>
      <c r="AC99" s="81" t="s">
        <v>1228</v>
      </c>
      <c r="AD99" s="84" t="s">
        <v>1239</v>
      </c>
      <c r="AE99" s="82">
        <v>1</v>
      </c>
      <c r="AF99" s="83" t="str">
        <f>REPLACE(INDEX(GroupVertices[Group],MATCH(Edges[[#This Row],[Vertex 1]],GroupVertices[Vertex],0)),1,1,"")</f>
        <v>10</v>
      </c>
      <c r="AG99" s="83" t="str">
        <f>REPLACE(INDEX(GroupVertices[Group],MATCH(Edges[[#This Row],[Vertex 2]],GroupVertices[Vertex],0)),1,1,"")</f>
        <v>10</v>
      </c>
      <c r="AH99" s="111">
        <v>1</v>
      </c>
      <c r="AI99" s="112">
        <v>1.4705882352941178</v>
      </c>
      <c r="AJ99" s="111">
        <v>0</v>
      </c>
      <c r="AK99" s="112">
        <v>0</v>
      </c>
      <c r="AL99" s="111">
        <v>0</v>
      </c>
      <c r="AM99" s="112">
        <v>0</v>
      </c>
      <c r="AN99" s="111">
        <v>67</v>
      </c>
      <c r="AO99" s="112">
        <v>98.52941176470588</v>
      </c>
      <c r="AP99" s="111">
        <v>68</v>
      </c>
    </row>
    <row r="100" spans="1:42" ht="15">
      <c r="A100" s="65" t="s">
        <v>408</v>
      </c>
      <c r="B100" s="65" t="s">
        <v>550</v>
      </c>
      <c r="C100" s="66" t="s">
        <v>2942</v>
      </c>
      <c r="D100" s="67">
        <v>3</v>
      </c>
      <c r="E100" s="68"/>
      <c r="F100" s="69">
        <v>40</v>
      </c>
      <c r="G100" s="66"/>
      <c r="H100" s="70"/>
      <c r="I100" s="71"/>
      <c r="J100" s="71"/>
      <c r="K100" s="35" t="s">
        <v>65</v>
      </c>
      <c r="L100" s="79">
        <v>100</v>
      </c>
      <c r="M100" s="79"/>
      <c r="N100" s="73"/>
      <c r="O100" s="81" t="s">
        <v>563</v>
      </c>
      <c r="P100" s="81" t="s">
        <v>325</v>
      </c>
      <c r="Q100" s="84" t="s">
        <v>661</v>
      </c>
      <c r="R100" s="81" t="s">
        <v>408</v>
      </c>
      <c r="S100" s="81" t="s">
        <v>921</v>
      </c>
      <c r="T100" s="86" t="str">
        <f>HYPERLINK("http://www.youtube.com/channel/UChA9cIhy_R5-REFhn28MQOw")</f>
        <v>http://www.youtube.com/channel/UChA9cIhy_R5-REFhn28MQOw</v>
      </c>
      <c r="U100" s="81"/>
      <c r="V100" s="81" t="s">
        <v>1108</v>
      </c>
      <c r="W100" s="86" t="str">
        <f>HYPERLINK("https://www.youtube.com/watch?v=tzkLBf9t7MY")</f>
        <v>https://www.youtube.com/watch?v=tzkLBf9t7MY</v>
      </c>
      <c r="X100" s="81" t="s">
        <v>1183</v>
      </c>
      <c r="Y100" s="81">
        <v>0</v>
      </c>
      <c r="Z100" s="88">
        <v>43676.00077546296</v>
      </c>
      <c r="AA100" s="88">
        <v>43676.00077546296</v>
      </c>
      <c r="AB100" s="81"/>
      <c r="AC100" s="81"/>
      <c r="AD100" s="84" t="s">
        <v>1239</v>
      </c>
      <c r="AE100" s="82">
        <v>1</v>
      </c>
      <c r="AF100" s="83" t="str">
        <f>REPLACE(INDEX(GroupVertices[Group],MATCH(Edges[[#This Row],[Vertex 1]],GroupVertices[Vertex],0)),1,1,"")</f>
        <v>10</v>
      </c>
      <c r="AG100" s="83" t="str">
        <f>REPLACE(INDEX(GroupVertices[Group],MATCH(Edges[[#This Row],[Vertex 2]],GroupVertices[Vertex],0)),1,1,"")</f>
        <v>10</v>
      </c>
      <c r="AH100" s="111">
        <v>0</v>
      </c>
      <c r="AI100" s="112">
        <v>0</v>
      </c>
      <c r="AJ100" s="111">
        <v>0</v>
      </c>
      <c r="AK100" s="112">
        <v>0</v>
      </c>
      <c r="AL100" s="111">
        <v>0</v>
      </c>
      <c r="AM100" s="112">
        <v>0</v>
      </c>
      <c r="AN100" s="111">
        <v>31</v>
      </c>
      <c r="AO100" s="112">
        <v>100</v>
      </c>
      <c r="AP100" s="111">
        <v>31</v>
      </c>
    </row>
    <row r="101" spans="1:42" ht="15">
      <c r="A101" s="65" t="s">
        <v>409</v>
      </c>
      <c r="B101" s="65" t="s">
        <v>561</v>
      </c>
      <c r="C101" s="66" t="s">
        <v>2942</v>
      </c>
      <c r="D101" s="67">
        <v>3</v>
      </c>
      <c r="E101" s="68"/>
      <c r="F101" s="69">
        <v>40</v>
      </c>
      <c r="G101" s="66"/>
      <c r="H101" s="70"/>
      <c r="I101" s="71"/>
      <c r="J101" s="71"/>
      <c r="K101" s="35" t="s">
        <v>65</v>
      </c>
      <c r="L101" s="79">
        <v>101</v>
      </c>
      <c r="M101" s="79"/>
      <c r="N101" s="73"/>
      <c r="O101" s="81" t="s">
        <v>563</v>
      </c>
      <c r="P101" s="81" t="s">
        <v>325</v>
      </c>
      <c r="Q101" s="84" t="s">
        <v>662</v>
      </c>
      <c r="R101" s="81" t="s">
        <v>409</v>
      </c>
      <c r="S101" s="81" t="s">
        <v>922</v>
      </c>
      <c r="T101" s="86" t="str">
        <f>HYPERLINK("http://www.youtube.com/channel/UCWmEXXyyg4CeL3TS4ba8iUg")</f>
        <v>http://www.youtube.com/channel/UCWmEXXyyg4CeL3TS4ba8iUg</v>
      </c>
      <c r="U101" s="81"/>
      <c r="V101" s="81" t="s">
        <v>1109</v>
      </c>
      <c r="W101" s="86" t="str">
        <f>HYPERLINK("https://www.youtube.com/watch?v=zMlwGOki4Yg")</f>
        <v>https://www.youtube.com/watch?v=zMlwGOki4Yg</v>
      </c>
      <c r="X101" s="81" t="s">
        <v>1183</v>
      </c>
      <c r="Y101" s="81">
        <v>0</v>
      </c>
      <c r="Z101" s="88">
        <v>42297.23268518518</v>
      </c>
      <c r="AA101" s="88">
        <v>42297.23268518518</v>
      </c>
      <c r="AB101" s="81"/>
      <c r="AC101" s="81"/>
      <c r="AD101" s="84" t="s">
        <v>1239</v>
      </c>
      <c r="AE101" s="82">
        <v>1</v>
      </c>
      <c r="AF101" s="83" t="str">
        <f>REPLACE(INDEX(GroupVertices[Group],MATCH(Edges[[#This Row],[Vertex 1]],GroupVertices[Vertex],0)),1,1,"")</f>
        <v>3</v>
      </c>
      <c r="AG101" s="83" t="str">
        <f>REPLACE(INDEX(GroupVertices[Group],MATCH(Edges[[#This Row],[Vertex 2]],GroupVertices[Vertex],0)),1,1,"")</f>
        <v>3</v>
      </c>
      <c r="AH101" s="111">
        <v>2</v>
      </c>
      <c r="AI101" s="112">
        <v>28.571428571428573</v>
      </c>
      <c r="AJ101" s="111">
        <v>0</v>
      </c>
      <c r="AK101" s="112">
        <v>0</v>
      </c>
      <c r="AL101" s="111">
        <v>0</v>
      </c>
      <c r="AM101" s="112">
        <v>0</v>
      </c>
      <c r="AN101" s="111">
        <v>5</v>
      </c>
      <c r="AO101" s="112">
        <v>71.42857142857143</v>
      </c>
      <c r="AP101" s="111">
        <v>7</v>
      </c>
    </row>
    <row r="102" spans="1:42" ht="15">
      <c r="A102" s="65" t="s">
        <v>410</v>
      </c>
      <c r="B102" s="65" t="s">
        <v>561</v>
      </c>
      <c r="C102" s="66" t="s">
        <v>2942</v>
      </c>
      <c r="D102" s="67">
        <v>3</v>
      </c>
      <c r="E102" s="68"/>
      <c r="F102" s="69">
        <v>40</v>
      </c>
      <c r="G102" s="66"/>
      <c r="H102" s="70"/>
      <c r="I102" s="71"/>
      <c r="J102" s="71"/>
      <c r="K102" s="35" t="s">
        <v>65</v>
      </c>
      <c r="L102" s="79">
        <v>102</v>
      </c>
      <c r="M102" s="79"/>
      <c r="N102" s="73"/>
      <c r="O102" s="81" t="s">
        <v>563</v>
      </c>
      <c r="P102" s="81" t="s">
        <v>325</v>
      </c>
      <c r="Q102" s="84" t="s">
        <v>663</v>
      </c>
      <c r="R102" s="81" t="s">
        <v>410</v>
      </c>
      <c r="S102" s="81" t="s">
        <v>923</v>
      </c>
      <c r="T102" s="86" t="str">
        <f>HYPERLINK("http://www.youtube.com/channel/UChlTB5NW6iUzi67TzRxRcTg")</f>
        <v>http://www.youtube.com/channel/UChlTB5NW6iUzi67TzRxRcTg</v>
      </c>
      <c r="U102" s="81"/>
      <c r="V102" s="81" t="s">
        <v>1109</v>
      </c>
      <c r="W102" s="86" t="str">
        <f>HYPERLINK("https://www.youtube.com/watch?v=zMlwGOki4Yg")</f>
        <v>https://www.youtube.com/watch?v=zMlwGOki4Yg</v>
      </c>
      <c r="X102" s="81" t="s">
        <v>1183</v>
      </c>
      <c r="Y102" s="81">
        <v>0</v>
      </c>
      <c r="Z102" s="88">
        <v>43538.64540509259</v>
      </c>
      <c r="AA102" s="88">
        <v>43538.64540509259</v>
      </c>
      <c r="AB102" s="81"/>
      <c r="AC102" s="81"/>
      <c r="AD102" s="84" t="s">
        <v>1239</v>
      </c>
      <c r="AE102" s="82">
        <v>1</v>
      </c>
      <c r="AF102" s="83" t="str">
        <f>REPLACE(INDEX(GroupVertices[Group],MATCH(Edges[[#This Row],[Vertex 1]],GroupVertices[Vertex],0)),1,1,"")</f>
        <v>3</v>
      </c>
      <c r="AG102" s="83" t="str">
        <f>REPLACE(INDEX(GroupVertices[Group],MATCH(Edges[[#This Row],[Vertex 2]],GroupVertices[Vertex],0)),1,1,"")</f>
        <v>3</v>
      </c>
      <c r="AH102" s="111">
        <v>1</v>
      </c>
      <c r="AI102" s="112">
        <v>25</v>
      </c>
      <c r="AJ102" s="111">
        <v>0</v>
      </c>
      <c r="AK102" s="112">
        <v>0</v>
      </c>
      <c r="AL102" s="111">
        <v>0</v>
      </c>
      <c r="AM102" s="112">
        <v>0</v>
      </c>
      <c r="AN102" s="111">
        <v>3</v>
      </c>
      <c r="AO102" s="112">
        <v>75</v>
      </c>
      <c r="AP102" s="111">
        <v>4</v>
      </c>
    </row>
    <row r="103" spans="1:42" ht="15">
      <c r="A103" s="65" t="s">
        <v>411</v>
      </c>
      <c r="B103" s="65" t="s">
        <v>561</v>
      </c>
      <c r="C103" s="66" t="s">
        <v>2942</v>
      </c>
      <c r="D103" s="67">
        <v>3</v>
      </c>
      <c r="E103" s="68"/>
      <c r="F103" s="69">
        <v>40</v>
      </c>
      <c r="G103" s="66"/>
      <c r="H103" s="70"/>
      <c r="I103" s="71"/>
      <c r="J103" s="71"/>
      <c r="K103" s="35" t="s">
        <v>65</v>
      </c>
      <c r="L103" s="79">
        <v>103</v>
      </c>
      <c r="M103" s="79"/>
      <c r="N103" s="73"/>
      <c r="O103" s="81" t="s">
        <v>563</v>
      </c>
      <c r="P103" s="81" t="s">
        <v>325</v>
      </c>
      <c r="Q103" s="84" t="s">
        <v>664</v>
      </c>
      <c r="R103" s="81" t="s">
        <v>411</v>
      </c>
      <c r="S103" s="81" t="s">
        <v>924</v>
      </c>
      <c r="T103" s="86" t="str">
        <f>HYPERLINK("http://www.youtube.com/channel/UCEkBJ8bqPbMoZwqFrKmPqSA")</f>
        <v>http://www.youtube.com/channel/UCEkBJ8bqPbMoZwqFrKmPqSA</v>
      </c>
      <c r="U103" s="81"/>
      <c r="V103" s="81" t="s">
        <v>1109</v>
      </c>
      <c r="W103" s="86" t="str">
        <f>HYPERLINK("https://www.youtube.com/watch?v=zMlwGOki4Yg")</f>
        <v>https://www.youtube.com/watch?v=zMlwGOki4Yg</v>
      </c>
      <c r="X103" s="81" t="s">
        <v>1183</v>
      </c>
      <c r="Y103" s="81">
        <v>0</v>
      </c>
      <c r="Z103" s="88">
        <v>44575.67810185185</v>
      </c>
      <c r="AA103" s="88">
        <v>44575.67810185185</v>
      </c>
      <c r="AB103" s="81"/>
      <c r="AC103" s="81"/>
      <c r="AD103" s="84" t="s">
        <v>1239</v>
      </c>
      <c r="AE103" s="82">
        <v>1</v>
      </c>
      <c r="AF103" s="83" t="str">
        <f>REPLACE(INDEX(GroupVertices[Group],MATCH(Edges[[#This Row],[Vertex 1]],GroupVertices[Vertex],0)),1,1,"")</f>
        <v>3</v>
      </c>
      <c r="AG103" s="83" t="str">
        <f>REPLACE(INDEX(GroupVertices[Group],MATCH(Edges[[#This Row],[Vertex 2]],GroupVertices[Vertex],0)),1,1,"")</f>
        <v>3</v>
      </c>
      <c r="AH103" s="111">
        <v>2</v>
      </c>
      <c r="AI103" s="112">
        <v>22.22222222222222</v>
      </c>
      <c r="AJ103" s="111">
        <v>0</v>
      </c>
      <c r="AK103" s="112">
        <v>0</v>
      </c>
      <c r="AL103" s="111">
        <v>0</v>
      </c>
      <c r="AM103" s="112">
        <v>0</v>
      </c>
      <c r="AN103" s="111">
        <v>7</v>
      </c>
      <c r="AO103" s="112">
        <v>77.77777777777777</v>
      </c>
      <c r="AP103" s="111">
        <v>9</v>
      </c>
    </row>
    <row r="104" spans="1:42" ht="15">
      <c r="A104" s="65" t="s">
        <v>412</v>
      </c>
      <c r="B104" s="65" t="s">
        <v>413</v>
      </c>
      <c r="C104" s="66" t="s">
        <v>2942</v>
      </c>
      <c r="D104" s="67">
        <v>3</v>
      </c>
      <c r="E104" s="68"/>
      <c r="F104" s="69">
        <v>40</v>
      </c>
      <c r="G104" s="66"/>
      <c r="H104" s="70"/>
      <c r="I104" s="71"/>
      <c r="J104" s="71"/>
      <c r="K104" s="35" t="s">
        <v>65</v>
      </c>
      <c r="L104" s="79">
        <v>104</v>
      </c>
      <c r="M104" s="79"/>
      <c r="N104" s="73"/>
      <c r="O104" s="81" t="s">
        <v>564</v>
      </c>
      <c r="P104" s="81" t="s">
        <v>566</v>
      </c>
      <c r="Q104" s="84" t="s">
        <v>665</v>
      </c>
      <c r="R104" s="81" t="s">
        <v>412</v>
      </c>
      <c r="S104" s="81" t="s">
        <v>925</v>
      </c>
      <c r="T104" s="86" t="str">
        <f>HYPERLINK("http://www.youtube.com/channel/UCVoF08vw5_TGZoAo2JKf0MA")</f>
        <v>http://www.youtube.com/channel/UCVoF08vw5_TGZoAo2JKf0MA</v>
      </c>
      <c r="U104" s="81" t="s">
        <v>1055</v>
      </c>
      <c r="V104" s="81" t="s">
        <v>1110</v>
      </c>
      <c r="W104" s="86" t="str">
        <f>HYPERLINK("https://www.youtube.com/watch?v=GYSgH1g_YQI")</f>
        <v>https://www.youtube.com/watch?v=GYSgH1g_YQI</v>
      </c>
      <c r="X104" s="81" t="s">
        <v>1183</v>
      </c>
      <c r="Y104" s="81">
        <v>0</v>
      </c>
      <c r="Z104" s="88">
        <v>43799.65560185185</v>
      </c>
      <c r="AA104" s="88">
        <v>43799.65560185185</v>
      </c>
      <c r="AB104" s="81"/>
      <c r="AC104" s="81"/>
      <c r="AD104" s="84" t="s">
        <v>1239</v>
      </c>
      <c r="AE104" s="82">
        <v>1</v>
      </c>
      <c r="AF104" s="83" t="str">
        <f>REPLACE(INDEX(GroupVertices[Group],MATCH(Edges[[#This Row],[Vertex 1]],GroupVertices[Vertex],0)),1,1,"")</f>
        <v>5</v>
      </c>
      <c r="AG104" s="83" t="str">
        <f>REPLACE(INDEX(GroupVertices[Group],MATCH(Edges[[#This Row],[Vertex 2]],GroupVertices[Vertex],0)),1,1,"")</f>
        <v>5</v>
      </c>
      <c r="AH104" s="111">
        <v>0</v>
      </c>
      <c r="AI104" s="112">
        <v>0</v>
      </c>
      <c r="AJ104" s="111">
        <v>0</v>
      </c>
      <c r="AK104" s="112">
        <v>0</v>
      </c>
      <c r="AL104" s="111">
        <v>0</v>
      </c>
      <c r="AM104" s="112">
        <v>0</v>
      </c>
      <c r="AN104" s="111">
        <v>25</v>
      </c>
      <c r="AO104" s="112">
        <v>100</v>
      </c>
      <c r="AP104" s="111">
        <v>25</v>
      </c>
    </row>
    <row r="105" spans="1:42" ht="15">
      <c r="A105" s="65" t="s">
        <v>413</v>
      </c>
      <c r="B105" s="65" t="s">
        <v>551</v>
      </c>
      <c r="C105" s="66" t="s">
        <v>2942</v>
      </c>
      <c r="D105" s="67">
        <v>3</v>
      </c>
      <c r="E105" s="68"/>
      <c r="F105" s="69">
        <v>40</v>
      </c>
      <c r="G105" s="66"/>
      <c r="H105" s="70"/>
      <c r="I105" s="71"/>
      <c r="J105" s="71"/>
      <c r="K105" s="35" t="s">
        <v>65</v>
      </c>
      <c r="L105" s="79">
        <v>105</v>
      </c>
      <c r="M105" s="79"/>
      <c r="N105" s="73"/>
      <c r="O105" s="81" t="s">
        <v>563</v>
      </c>
      <c r="P105" s="81" t="s">
        <v>325</v>
      </c>
      <c r="Q105" s="84" t="s">
        <v>666</v>
      </c>
      <c r="R105" s="81" t="s">
        <v>413</v>
      </c>
      <c r="S105" s="81" t="s">
        <v>926</v>
      </c>
      <c r="T105" s="86" t="str">
        <f>HYPERLINK("http://www.youtube.com/channel/UCVJfW61X3yS0PH-25gIjpNA")</f>
        <v>http://www.youtube.com/channel/UCVJfW61X3yS0PH-25gIjpNA</v>
      </c>
      <c r="U105" s="81"/>
      <c r="V105" s="81" t="s">
        <v>1110</v>
      </c>
      <c r="W105" s="86" t="str">
        <f>HYPERLINK("https://www.youtube.com/watch?v=GYSgH1g_YQI")</f>
        <v>https://www.youtube.com/watch?v=GYSgH1g_YQI</v>
      </c>
      <c r="X105" s="81" t="s">
        <v>1183</v>
      </c>
      <c r="Y105" s="81">
        <v>1</v>
      </c>
      <c r="Z105" s="88">
        <v>43041.86840277778</v>
      </c>
      <c r="AA105" s="88">
        <v>43041.86840277778</v>
      </c>
      <c r="AB105" s="81"/>
      <c r="AC105" s="81"/>
      <c r="AD105" s="84" t="s">
        <v>1239</v>
      </c>
      <c r="AE105" s="82">
        <v>1</v>
      </c>
      <c r="AF105" s="83" t="str">
        <f>REPLACE(INDEX(GroupVertices[Group],MATCH(Edges[[#This Row],[Vertex 1]],GroupVertices[Vertex],0)),1,1,"")</f>
        <v>5</v>
      </c>
      <c r="AG105" s="83" t="str">
        <f>REPLACE(INDEX(GroupVertices[Group],MATCH(Edges[[#This Row],[Vertex 2]],GroupVertices[Vertex],0)),1,1,"")</f>
        <v>5</v>
      </c>
      <c r="AH105" s="111">
        <v>0</v>
      </c>
      <c r="AI105" s="112">
        <v>0</v>
      </c>
      <c r="AJ105" s="111">
        <v>0</v>
      </c>
      <c r="AK105" s="112">
        <v>0</v>
      </c>
      <c r="AL105" s="111">
        <v>0</v>
      </c>
      <c r="AM105" s="112">
        <v>0</v>
      </c>
      <c r="AN105" s="111">
        <v>15</v>
      </c>
      <c r="AO105" s="112">
        <v>100</v>
      </c>
      <c r="AP105" s="111">
        <v>15</v>
      </c>
    </row>
    <row r="106" spans="1:42" ht="15">
      <c r="A106" s="65" t="s">
        <v>414</v>
      </c>
      <c r="B106" s="65" t="s">
        <v>551</v>
      </c>
      <c r="C106" s="66" t="s">
        <v>2942</v>
      </c>
      <c r="D106" s="67">
        <v>3</v>
      </c>
      <c r="E106" s="68"/>
      <c r="F106" s="69">
        <v>40</v>
      </c>
      <c r="G106" s="66"/>
      <c r="H106" s="70"/>
      <c r="I106" s="71"/>
      <c r="J106" s="71"/>
      <c r="K106" s="35" t="s">
        <v>65</v>
      </c>
      <c r="L106" s="79">
        <v>106</v>
      </c>
      <c r="M106" s="79"/>
      <c r="N106" s="73"/>
      <c r="O106" s="81" t="s">
        <v>563</v>
      </c>
      <c r="P106" s="81" t="s">
        <v>325</v>
      </c>
      <c r="Q106" s="84" t="s">
        <v>667</v>
      </c>
      <c r="R106" s="81" t="s">
        <v>414</v>
      </c>
      <c r="S106" s="81" t="s">
        <v>927</v>
      </c>
      <c r="T106" s="86" t="str">
        <f>HYPERLINK("http://www.youtube.com/channel/UC3ZPFGJ9YYuozcr4cSnBJ2A")</f>
        <v>http://www.youtube.com/channel/UC3ZPFGJ9YYuozcr4cSnBJ2A</v>
      </c>
      <c r="U106" s="81"/>
      <c r="V106" s="81" t="s">
        <v>1110</v>
      </c>
      <c r="W106" s="86" t="str">
        <f>HYPERLINK("https://www.youtube.com/watch?v=GYSgH1g_YQI")</f>
        <v>https://www.youtube.com/watch?v=GYSgH1g_YQI</v>
      </c>
      <c r="X106" s="81" t="s">
        <v>1183</v>
      </c>
      <c r="Y106" s="81">
        <v>0</v>
      </c>
      <c r="Z106" s="88">
        <v>43125.79871527778</v>
      </c>
      <c r="AA106" s="88">
        <v>43125.79871527778</v>
      </c>
      <c r="AB106" s="81"/>
      <c r="AC106" s="81"/>
      <c r="AD106" s="84" t="s">
        <v>1239</v>
      </c>
      <c r="AE106" s="82">
        <v>1</v>
      </c>
      <c r="AF106" s="83" t="str">
        <f>REPLACE(INDEX(GroupVertices[Group],MATCH(Edges[[#This Row],[Vertex 1]],GroupVertices[Vertex],0)),1,1,"")</f>
        <v>5</v>
      </c>
      <c r="AG106" s="83" t="str">
        <f>REPLACE(INDEX(GroupVertices[Group],MATCH(Edges[[#This Row],[Vertex 2]],GroupVertices[Vertex],0)),1,1,"")</f>
        <v>5</v>
      </c>
      <c r="AH106" s="111">
        <v>0</v>
      </c>
      <c r="AI106" s="112">
        <v>0</v>
      </c>
      <c r="AJ106" s="111">
        <v>0</v>
      </c>
      <c r="AK106" s="112">
        <v>0</v>
      </c>
      <c r="AL106" s="111">
        <v>0</v>
      </c>
      <c r="AM106" s="112">
        <v>0</v>
      </c>
      <c r="AN106" s="111">
        <v>6</v>
      </c>
      <c r="AO106" s="112">
        <v>100</v>
      </c>
      <c r="AP106" s="111">
        <v>6</v>
      </c>
    </row>
    <row r="107" spans="1:42" ht="15">
      <c r="A107" s="65" t="s">
        <v>415</v>
      </c>
      <c r="B107" s="65" t="s">
        <v>417</v>
      </c>
      <c r="C107" s="66" t="s">
        <v>2942</v>
      </c>
      <c r="D107" s="67">
        <v>3</v>
      </c>
      <c r="E107" s="68"/>
      <c r="F107" s="69">
        <v>40</v>
      </c>
      <c r="G107" s="66"/>
      <c r="H107" s="70"/>
      <c r="I107" s="71"/>
      <c r="J107" s="71"/>
      <c r="K107" s="35" t="s">
        <v>65</v>
      </c>
      <c r="L107" s="79">
        <v>107</v>
      </c>
      <c r="M107" s="79"/>
      <c r="N107" s="73"/>
      <c r="O107" s="81" t="s">
        <v>564</v>
      </c>
      <c r="P107" s="81" t="s">
        <v>566</v>
      </c>
      <c r="Q107" s="84" t="s">
        <v>668</v>
      </c>
      <c r="R107" s="81" t="s">
        <v>415</v>
      </c>
      <c r="S107" s="81" t="s">
        <v>928</v>
      </c>
      <c r="T107" s="86" t="str">
        <f>HYPERLINK("http://www.youtube.com/channel/UCgHRnRM04bqxuFsbmaogYoQ")</f>
        <v>http://www.youtube.com/channel/UCgHRnRM04bqxuFsbmaogYoQ</v>
      </c>
      <c r="U107" s="81" t="s">
        <v>1056</v>
      </c>
      <c r="V107" s="81" t="s">
        <v>1110</v>
      </c>
      <c r="W107" s="86" t="str">
        <f>HYPERLINK("https://www.youtube.com/watch?v=GYSgH1g_YQI")</f>
        <v>https://www.youtube.com/watch?v=GYSgH1g_YQI</v>
      </c>
      <c r="X107" s="81" t="s">
        <v>1183</v>
      </c>
      <c r="Y107" s="81">
        <v>0</v>
      </c>
      <c r="Z107" s="88">
        <v>43468.86344907407</v>
      </c>
      <c r="AA107" s="88">
        <v>43468.86344907407</v>
      </c>
      <c r="AB107" s="81"/>
      <c r="AC107" s="81"/>
      <c r="AD107" s="84" t="s">
        <v>1239</v>
      </c>
      <c r="AE107" s="82">
        <v>1</v>
      </c>
      <c r="AF107" s="83" t="str">
        <f>REPLACE(INDEX(GroupVertices[Group],MATCH(Edges[[#This Row],[Vertex 1]],GroupVertices[Vertex],0)),1,1,"")</f>
        <v>5</v>
      </c>
      <c r="AG107" s="83" t="str">
        <f>REPLACE(INDEX(GroupVertices[Group],MATCH(Edges[[#This Row],[Vertex 2]],GroupVertices[Vertex],0)),1,1,"")</f>
        <v>5</v>
      </c>
      <c r="AH107" s="111">
        <v>0</v>
      </c>
      <c r="AI107" s="112">
        <v>0</v>
      </c>
      <c r="AJ107" s="111">
        <v>0</v>
      </c>
      <c r="AK107" s="112">
        <v>0</v>
      </c>
      <c r="AL107" s="111">
        <v>0</v>
      </c>
      <c r="AM107" s="112">
        <v>0</v>
      </c>
      <c r="AN107" s="111">
        <v>8</v>
      </c>
      <c r="AO107" s="112">
        <v>100</v>
      </c>
      <c r="AP107" s="111">
        <v>8</v>
      </c>
    </row>
    <row r="108" spans="1:42" ht="15">
      <c r="A108" s="65" t="s">
        <v>416</v>
      </c>
      <c r="B108" s="65" t="s">
        <v>417</v>
      </c>
      <c r="C108" s="66" t="s">
        <v>2942</v>
      </c>
      <c r="D108" s="67">
        <v>3</v>
      </c>
      <c r="E108" s="68"/>
      <c r="F108" s="69">
        <v>40</v>
      </c>
      <c r="G108" s="66"/>
      <c r="H108" s="70"/>
      <c r="I108" s="71"/>
      <c r="J108" s="71"/>
      <c r="K108" s="35" t="s">
        <v>65</v>
      </c>
      <c r="L108" s="79">
        <v>108</v>
      </c>
      <c r="M108" s="79"/>
      <c r="N108" s="73"/>
      <c r="O108" s="81" t="s">
        <v>564</v>
      </c>
      <c r="P108" s="81" t="s">
        <v>566</v>
      </c>
      <c r="Q108" s="84" t="s">
        <v>669</v>
      </c>
      <c r="R108" s="81" t="s">
        <v>416</v>
      </c>
      <c r="S108" s="81" t="s">
        <v>929</v>
      </c>
      <c r="T108" s="86" t="str">
        <f>HYPERLINK("http://www.youtube.com/channel/UCNqum2PJcIKJNqgdpJT_BAQ")</f>
        <v>http://www.youtube.com/channel/UCNqum2PJcIKJNqgdpJT_BAQ</v>
      </c>
      <c r="U108" s="81" t="s">
        <v>1056</v>
      </c>
      <c r="V108" s="81" t="s">
        <v>1110</v>
      </c>
      <c r="W108" s="86" t="str">
        <f>HYPERLINK("https://www.youtube.com/watch?v=GYSgH1g_YQI")</f>
        <v>https://www.youtube.com/watch?v=GYSgH1g_YQI</v>
      </c>
      <c r="X108" s="81" t="s">
        <v>1183</v>
      </c>
      <c r="Y108" s="81">
        <v>0</v>
      </c>
      <c r="Z108" s="88">
        <v>43945.56465277778</v>
      </c>
      <c r="AA108" s="88">
        <v>43945.56465277778</v>
      </c>
      <c r="AB108" s="81" t="s">
        <v>1195</v>
      </c>
      <c r="AC108" s="81" t="s">
        <v>1227</v>
      </c>
      <c r="AD108" s="84" t="s">
        <v>1239</v>
      </c>
      <c r="AE108" s="82">
        <v>1</v>
      </c>
      <c r="AF108" s="83" t="str">
        <f>REPLACE(INDEX(GroupVertices[Group],MATCH(Edges[[#This Row],[Vertex 1]],GroupVertices[Vertex],0)),1,1,"")</f>
        <v>5</v>
      </c>
      <c r="AG108" s="83" t="str">
        <f>REPLACE(INDEX(GroupVertices[Group],MATCH(Edges[[#This Row],[Vertex 2]],GroupVertices[Vertex],0)),1,1,"")</f>
        <v>5</v>
      </c>
      <c r="AH108" s="111">
        <v>0</v>
      </c>
      <c r="AI108" s="112">
        <v>0</v>
      </c>
      <c r="AJ108" s="111">
        <v>0</v>
      </c>
      <c r="AK108" s="112">
        <v>0</v>
      </c>
      <c r="AL108" s="111">
        <v>0</v>
      </c>
      <c r="AM108" s="112">
        <v>0</v>
      </c>
      <c r="AN108" s="111">
        <v>21</v>
      </c>
      <c r="AO108" s="112">
        <v>100</v>
      </c>
      <c r="AP108" s="111">
        <v>21</v>
      </c>
    </row>
    <row r="109" spans="1:42" ht="15">
      <c r="A109" s="65" t="s">
        <v>417</v>
      </c>
      <c r="B109" s="65" t="s">
        <v>417</v>
      </c>
      <c r="C109" s="66" t="s">
        <v>2942</v>
      </c>
      <c r="D109" s="67">
        <v>3</v>
      </c>
      <c r="E109" s="68"/>
      <c r="F109" s="69">
        <v>40</v>
      </c>
      <c r="G109" s="66"/>
      <c r="H109" s="70"/>
      <c r="I109" s="71"/>
      <c r="J109" s="71"/>
      <c r="K109" s="35" t="s">
        <v>65</v>
      </c>
      <c r="L109" s="79">
        <v>109</v>
      </c>
      <c r="M109" s="79"/>
      <c r="N109" s="73"/>
      <c r="O109" s="81" t="s">
        <v>564</v>
      </c>
      <c r="P109" s="81" t="s">
        <v>566</v>
      </c>
      <c r="Q109" s="84" t="s">
        <v>670</v>
      </c>
      <c r="R109" s="81" t="s">
        <v>417</v>
      </c>
      <c r="S109" s="81" t="s">
        <v>930</v>
      </c>
      <c r="T109" s="86" t="str">
        <f>HYPERLINK("http://www.youtube.com/channel/UCk1fFx94xROs0rc-0X9B5xQ")</f>
        <v>http://www.youtube.com/channel/UCk1fFx94xROs0rc-0X9B5xQ</v>
      </c>
      <c r="U109" s="81" t="s">
        <v>1056</v>
      </c>
      <c r="V109" s="81" t="s">
        <v>1110</v>
      </c>
      <c r="W109" s="86" t="str">
        <f>HYPERLINK("https://www.youtube.com/watch?v=GYSgH1g_YQI")</f>
        <v>https://www.youtube.com/watch?v=GYSgH1g_YQI</v>
      </c>
      <c r="X109" s="81" t="s">
        <v>1183</v>
      </c>
      <c r="Y109" s="81">
        <v>0</v>
      </c>
      <c r="Z109" s="88">
        <v>43140.62809027778</v>
      </c>
      <c r="AA109" s="88">
        <v>43140.62809027778</v>
      </c>
      <c r="AB109" s="81"/>
      <c r="AC109" s="81"/>
      <c r="AD109" s="84" t="s">
        <v>1239</v>
      </c>
      <c r="AE109" s="82">
        <v>1</v>
      </c>
      <c r="AF109" s="83" t="str">
        <f>REPLACE(INDEX(GroupVertices[Group],MATCH(Edges[[#This Row],[Vertex 1]],GroupVertices[Vertex],0)),1,1,"")</f>
        <v>5</v>
      </c>
      <c r="AG109" s="83" t="str">
        <f>REPLACE(INDEX(GroupVertices[Group],MATCH(Edges[[#This Row],[Vertex 2]],GroupVertices[Vertex],0)),1,1,"")</f>
        <v>5</v>
      </c>
      <c r="AH109" s="111">
        <v>0</v>
      </c>
      <c r="AI109" s="112">
        <v>0</v>
      </c>
      <c r="AJ109" s="111">
        <v>0</v>
      </c>
      <c r="AK109" s="112">
        <v>0</v>
      </c>
      <c r="AL109" s="111">
        <v>0</v>
      </c>
      <c r="AM109" s="112">
        <v>0</v>
      </c>
      <c r="AN109" s="111">
        <v>31</v>
      </c>
      <c r="AO109" s="112">
        <v>100</v>
      </c>
      <c r="AP109" s="111">
        <v>31</v>
      </c>
    </row>
    <row r="110" spans="1:42" ht="15">
      <c r="A110" s="65" t="s">
        <v>417</v>
      </c>
      <c r="B110" s="65" t="s">
        <v>551</v>
      </c>
      <c r="C110" s="66" t="s">
        <v>2942</v>
      </c>
      <c r="D110" s="67">
        <v>3</v>
      </c>
      <c r="E110" s="68"/>
      <c r="F110" s="69">
        <v>40</v>
      </c>
      <c r="G110" s="66"/>
      <c r="H110" s="70"/>
      <c r="I110" s="71"/>
      <c r="J110" s="71"/>
      <c r="K110" s="35" t="s">
        <v>65</v>
      </c>
      <c r="L110" s="79">
        <v>110</v>
      </c>
      <c r="M110" s="79"/>
      <c r="N110" s="73"/>
      <c r="O110" s="81" t="s">
        <v>563</v>
      </c>
      <c r="P110" s="81" t="s">
        <v>325</v>
      </c>
      <c r="Q110" s="84" t="s">
        <v>671</v>
      </c>
      <c r="R110" s="81" t="s">
        <v>417</v>
      </c>
      <c r="S110" s="81" t="s">
        <v>930</v>
      </c>
      <c r="T110" s="86" t="str">
        <f>HYPERLINK("http://www.youtube.com/channel/UCk1fFx94xROs0rc-0X9B5xQ")</f>
        <v>http://www.youtube.com/channel/UCk1fFx94xROs0rc-0X9B5xQ</v>
      </c>
      <c r="U110" s="81"/>
      <c r="V110" s="81" t="s">
        <v>1110</v>
      </c>
      <c r="W110" s="86" t="str">
        <f>HYPERLINK("https://www.youtube.com/watch?v=GYSgH1g_YQI")</f>
        <v>https://www.youtube.com/watch?v=GYSgH1g_YQI</v>
      </c>
      <c r="X110" s="81" t="s">
        <v>1183</v>
      </c>
      <c r="Y110" s="81">
        <v>0</v>
      </c>
      <c r="Z110" s="88">
        <v>43140.50171296296</v>
      </c>
      <c r="AA110" s="88">
        <v>43140.50171296296</v>
      </c>
      <c r="AB110" s="81" t="s">
        <v>1196</v>
      </c>
      <c r="AC110" s="81" t="s">
        <v>1229</v>
      </c>
      <c r="AD110" s="84" t="s">
        <v>1239</v>
      </c>
      <c r="AE110" s="82">
        <v>1</v>
      </c>
      <c r="AF110" s="83" t="str">
        <f>REPLACE(INDEX(GroupVertices[Group],MATCH(Edges[[#This Row],[Vertex 1]],GroupVertices[Vertex],0)),1,1,"")</f>
        <v>5</v>
      </c>
      <c r="AG110" s="83" t="str">
        <f>REPLACE(INDEX(GroupVertices[Group],MATCH(Edges[[#This Row],[Vertex 2]],GroupVertices[Vertex],0)),1,1,"")</f>
        <v>5</v>
      </c>
      <c r="AH110" s="111">
        <v>1</v>
      </c>
      <c r="AI110" s="112">
        <v>1.3513513513513513</v>
      </c>
      <c r="AJ110" s="111">
        <v>0</v>
      </c>
      <c r="AK110" s="112">
        <v>0</v>
      </c>
      <c r="AL110" s="111">
        <v>0</v>
      </c>
      <c r="AM110" s="112">
        <v>0</v>
      </c>
      <c r="AN110" s="111">
        <v>73</v>
      </c>
      <c r="AO110" s="112">
        <v>98.64864864864865</v>
      </c>
      <c r="AP110" s="111">
        <v>74</v>
      </c>
    </row>
    <row r="111" spans="1:42" ht="15">
      <c r="A111" s="65" t="s">
        <v>418</v>
      </c>
      <c r="B111" s="65" t="s">
        <v>419</v>
      </c>
      <c r="C111" s="66" t="s">
        <v>2942</v>
      </c>
      <c r="D111" s="67">
        <v>3</v>
      </c>
      <c r="E111" s="68"/>
      <c r="F111" s="69">
        <v>40</v>
      </c>
      <c r="G111" s="66"/>
      <c r="H111" s="70"/>
      <c r="I111" s="71"/>
      <c r="J111" s="71"/>
      <c r="K111" s="35" t="s">
        <v>65</v>
      </c>
      <c r="L111" s="79">
        <v>111</v>
      </c>
      <c r="M111" s="79"/>
      <c r="N111" s="73"/>
      <c r="O111" s="81" t="s">
        <v>564</v>
      </c>
      <c r="P111" s="81" t="s">
        <v>566</v>
      </c>
      <c r="Q111" s="84" t="s">
        <v>672</v>
      </c>
      <c r="R111" s="81" t="s">
        <v>418</v>
      </c>
      <c r="S111" s="81" t="s">
        <v>931</v>
      </c>
      <c r="T111" s="86" t="str">
        <f>HYPERLINK("http://www.youtube.com/channel/UCaHhU-OK1Vac5L2ghUiDtfw")</f>
        <v>http://www.youtube.com/channel/UCaHhU-OK1Vac5L2ghUiDtfw</v>
      </c>
      <c r="U111" s="81" t="s">
        <v>1057</v>
      </c>
      <c r="V111" s="81" t="s">
        <v>1110</v>
      </c>
      <c r="W111" s="86" t="str">
        <f>HYPERLINK("https://www.youtube.com/watch?v=")</f>
        <v>https://www.youtube.com/watch?v=</v>
      </c>
      <c r="X111" s="81" t="s">
        <v>1183</v>
      </c>
      <c r="Y111" s="81">
        <v>0</v>
      </c>
      <c r="Z111" s="88">
        <v>44153.603321759256</v>
      </c>
      <c r="AA111" s="88">
        <v>44153.603321759256</v>
      </c>
      <c r="AB111" s="81"/>
      <c r="AC111" s="81"/>
      <c r="AD111" s="84" t="s">
        <v>1239</v>
      </c>
      <c r="AE111" s="82">
        <v>1</v>
      </c>
      <c r="AF111" s="83" t="str">
        <f>REPLACE(INDEX(GroupVertices[Group],MATCH(Edges[[#This Row],[Vertex 1]],GroupVertices[Vertex],0)),1,1,"")</f>
        <v>5</v>
      </c>
      <c r="AG111" s="83" t="str">
        <f>REPLACE(INDEX(GroupVertices[Group],MATCH(Edges[[#This Row],[Vertex 2]],GroupVertices[Vertex],0)),1,1,"")</f>
        <v>5</v>
      </c>
      <c r="AH111" s="111">
        <v>0</v>
      </c>
      <c r="AI111" s="112">
        <v>0</v>
      </c>
      <c r="AJ111" s="111">
        <v>0</v>
      </c>
      <c r="AK111" s="112">
        <v>0</v>
      </c>
      <c r="AL111" s="111">
        <v>0</v>
      </c>
      <c r="AM111" s="112">
        <v>0</v>
      </c>
      <c r="AN111" s="111">
        <v>14</v>
      </c>
      <c r="AO111" s="112">
        <v>100</v>
      </c>
      <c r="AP111" s="111">
        <v>14</v>
      </c>
    </row>
    <row r="112" spans="1:42" ht="15">
      <c r="A112" s="65" t="s">
        <v>419</v>
      </c>
      <c r="B112" s="65" t="s">
        <v>551</v>
      </c>
      <c r="C112" s="66" t="s">
        <v>2942</v>
      </c>
      <c r="D112" s="67">
        <v>3</v>
      </c>
      <c r="E112" s="68"/>
      <c r="F112" s="69">
        <v>40</v>
      </c>
      <c r="G112" s="66"/>
      <c r="H112" s="70"/>
      <c r="I112" s="71"/>
      <c r="J112" s="71"/>
      <c r="K112" s="35" t="s">
        <v>65</v>
      </c>
      <c r="L112" s="79">
        <v>112</v>
      </c>
      <c r="M112" s="79"/>
      <c r="N112" s="73"/>
      <c r="O112" s="81" t="s">
        <v>563</v>
      </c>
      <c r="P112" s="81" t="s">
        <v>325</v>
      </c>
      <c r="Q112" s="84" t="s">
        <v>673</v>
      </c>
      <c r="R112" s="81" t="s">
        <v>419</v>
      </c>
      <c r="S112" s="81" t="s">
        <v>932</v>
      </c>
      <c r="T112" s="86" t="str">
        <f>HYPERLINK("http://www.youtube.com/channel/UC9WOPcj0UJiSLURpeHpTLGg")</f>
        <v>http://www.youtube.com/channel/UC9WOPcj0UJiSLURpeHpTLGg</v>
      </c>
      <c r="U112" s="81"/>
      <c r="V112" s="81" t="s">
        <v>1110</v>
      </c>
      <c r="W112" s="86" t="str">
        <f>HYPERLINK("https://www.youtube.com/watch?v=GYSgH1g_YQI")</f>
        <v>https://www.youtube.com/watch?v=GYSgH1g_YQI</v>
      </c>
      <c r="X112" s="81" t="s">
        <v>1183</v>
      </c>
      <c r="Y112" s="81">
        <v>0</v>
      </c>
      <c r="Z112" s="88">
        <v>44152.93481481481</v>
      </c>
      <c r="AA112" s="88">
        <v>44152.93481481481</v>
      </c>
      <c r="AB112" s="81" t="s">
        <v>1197</v>
      </c>
      <c r="AC112" s="81" t="s">
        <v>1221</v>
      </c>
      <c r="AD112" s="84" t="s">
        <v>1239</v>
      </c>
      <c r="AE112" s="82">
        <v>1</v>
      </c>
      <c r="AF112" s="83" t="str">
        <f>REPLACE(INDEX(GroupVertices[Group],MATCH(Edges[[#This Row],[Vertex 1]],GroupVertices[Vertex],0)),1,1,"")</f>
        <v>5</v>
      </c>
      <c r="AG112" s="83" t="str">
        <f>REPLACE(INDEX(GroupVertices[Group],MATCH(Edges[[#This Row],[Vertex 2]],GroupVertices[Vertex],0)),1,1,"")</f>
        <v>5</v>
      </c>
      <c r="AH112" s="111">
        <v>0</v>
      </c>
      <c r="AI112" s="112">
        <v>0</v>
      </c>
      <c r="AJ112" s="111">
        <v>0</v>
      </c>
      <c r="AK112" s="112">
        <v>0</v>
      </c>
      <c r="AL112" s="111">
        <v>0</v>
      </c>
      <c r="AM112" s="112">
        <v>0</v>
      </c>
      <c r="AN112" s="111">
        <v>45</v>
      </c>
      <c r="AO112" s="112">
        <v>100</v>
      </c>
      <c r="AP112" s="111">
        <v>45</v>
      </c>
    </row>
    <row r="113" spans="1:42" ht="15">
      <c r="A113" s="65" t="s">
        <v>420</v>
      </c>
      <c r="B113" s="65" t="s">
        <v>369</v>
      </c>
      <c r="C113" s="66" t="s">
        <v>2942</v>
      </c>
      <c r="D113" s="67">
        <v>3</v>
      </c>
      <c r="E113" s="68"/>
      <c r="F113" s="69">
        <v>40</v>
      </c>
      <c r="G113" s="66"/>
      <c r="H113" s="70"/>
      <c r="I113" s="71"/>
      <c r="J113" s="71"/>
      <c r="K113" s="35" t="s">
        <v>65</v>
      </c>
      <c r="L113" s="79">
        <v>113</v>
      </c>
      <c r="M113" s="79"/>
      <c r="N113" s="73"/>
      <c r="O113" s="81" t="s">
        <v>563</v>
      </c>
      <c r="P113" s="81" t="s">
        <v>325</v>
      </c>
      <c r="Q113" s="84" t="s">
        <v>674</v>
      </c>
      <c r="R113" s="81" t="s">
        <v>420</v>
      </c>
      <c r="S113" s="81" t="s">
        <v>933</v>
      </c>
      <c r="T113" s="86" t="str">
        <f>HYPERLINK("http://www.youtube.com/channel/UCJIZkb4wSJWKnDl2y3zC5Fg")</f>
        <v>http://www.youtube.com/channel/UCJIZkb4wSJWKnDl2y3zC5Fg</v>
      </c>
      <c r="U113" s="81"/>
      <c r="V113" s="81" t="s">
        <v>1111</v>
      </c>
      <c r="W113" s="86" t="str">
        <f>HYPERLINK("https://www.youtube.com/watch?v=_ci5QaUkAfw")</f>
        <v>https://www.youtube.com/watch?v=_ci5QaUkAfw</v>
      </c>
      <c r="X113" s="81" t="s">
        <v>1183</v>
      </c>
      <c r="Y113" s="81">
        <v>0</v>
      </c>
      <c r="Z113" s="88">
        <v>42217.035520833335</v>
      </c>
      <c r="AA113" s="88">
        <v>42217.035520833335</v>
      </c>
      <c r="AB113" s="81"/>
      <c r="AC113" s="81"/>
      <c r="AD113" s="84" t="s">
        <v>1239</v>
      </c>
      <c r="AE113" s="82">
        <v>1</v>
      </c>
      <c r="AF113" s="83" t="str">
        <f>REPLACE(INDEX(GroupVertices[Group],MATCH(Edges[[#This Row],[Vertex 1]],GroupVertices[Vertex],0)),1,1,"")</f>
        <v>1</v>
      </c>
      <c r="AG113" s="83" t="str">
        <f>REPLACE(INDEX(GroupVertices[Group],MATCH(Edges[[#This Row],[Vertex 2]],GroupVertices[Vertex],0)),1,1,"")</f>
        <v>1</v>
      </c>
      <c r="AH113" s="111">
        <v>0</v>
      </c>
      <c r="AI113" s="112">
        <v>0</v>
      </c>
      <c r="AJ113" s="111">
        <v>1</v>
      </c>
      <c r="AK113" s="112">
        <v>1.9230769230769231</v>
      </c>
      <c r="AL113" s="111">
        <v>0</v>
      </c>
      <c r="AM113" s="112">
        <v>0</v>
      </c>
      <c r="AN113" s="111">
        <v>51</v>
      </c>
      <c r="AO113" s="112">
        <v>98.07692307692308</v>
      </c>
      <c r="AP113" s="111">
        <v>52</v>
      </c>
    </row>
    <row r="114" spans="1:42" ht="15">
      <c r="A114" s="65" t="s">
        <v>421</v>
      </c>
      <c r="B114" s="65" t="s">
        <v>430</v>
      </c>
      <c r="C114" s="66" t="s">
        <v>2942</v>
      </c>
      <c r="D114" s="67">
        <v>3</v>
      </c>
      <c r="E114" s="68"/>
      <c r="F114" s="69">
        <v>40</v>
      </c>
      <c r="G114" s="66"/>
      <c r="H114" s="70"/>
      <c r="I114" s="71"/>
      <c r="J114" s="71"/>
      <c r="K114" s="35" t="s">
        <v>65</v>
      </c>
      <c r="L114" s="79">
        <v>114</v>
      </c>
      <c r="M114" s="79"/>
      <c r="N114" s="73"/>
      <c r="O114" s="81" t="s">
        <v>563</v>
      </c>
      <c r="P114" s="81" t="s">
        <v>325</v>
      </c>
      <c r="Q114" s="84" t="s">
        <v>675</v>
      </c>
      <c r="R114" s="81" t="s">
        <v>421</v>
      </c>
      <c r="S114" s="81" t="s">
        <v>934</v>
      </c>
      <c r="T114" s="86" t="str">
        <f>HYPERLINK("http://www.youtube.com/channel/UCdroRJc0_ZpOqXd_5Gp1UEA")</f>
        <v>http://www.youtube.com/channel/UCdroRJc0_ZpOqXd_5Gp1UEA</v>
      </c>
      <c r="U114" s="81"/>
      <c r="V114" s="81" t="s">
        <v>1112</v>
      </c>
      <c r="W114" s="86" t="str">
        <f>HYPERLINK("https://www.youtube.com/watch?v=yknqOhpUtzQ")</f>
        <v>https://www.youtube.com/watch?v=yknqOhpUtzQ</v>
      </c>
      <c r="X114" s="81" t="s">
        <v>1183</v>
      </c>
      <c r="Y114" s="81">
        <v>0</v>
      </c>
      <c r="Z114" s="88">
        <v>42155.941875</v>
      </c>
      <c r="AA114" s="88">
        <v>42155.941875</v>
      </c>
      <c r="AB114" s="81"/>
      <c r="AC114" s="81"/>
      <c r="AD114" s="84" t="s">
        <v>1239</v>
      </c>
      <c r="AE114" s="82">
        <v>1</v>
      </c>
      <c r="AF114" s="83" t="str">
        <f>REPLACE(INDEX(GroupVertices[Group],MATCH(Edges[[#This Row],[Vertex 1]],GroupVertices[Vertex],0)),1,1,"")</f>
        <v>7</v>
      </c>
      <c r="AG114" s="83" t="str">
        <f>REPLACE(INDEX(GroupVertices[Group],MATCH(Edges[[#This Row],[Vertex 2]],GroupVertices[Vertex],0)),1,1,"")</f>
        <v>7</v>
      </c>
      <c r="AH114" s="111">
        <v>0</v>
      </c>
      <c r="AI114" s="112">
        <v>0</v>
      </c>
      <c r="AJ114" s="111">
        <v>0</v>
      </c>
      <c r="AK114" s="112">
        <v>0</v>
      </c>
      <c r="AL114" s="111">
        <v>0</v>
      </c>
      <c r="AM114" s="112">
        <v>0</v>
      </c>
      <c r="AN114" s="111">
        <v>5</v>
      </c>
      <c r="AO114" s="112">
        <v>100</v>
      </c>
      <c r="AP114" s="111">
        <v>5</v>
      </c>
    </row>
    <row r="115" spans="1:42" ht="15">
      <c r="A115" s="65" t="s">
        <v>422</v>
      </c>
      <c r="B115" s="65" t="s">
        <v>430</v>
      </c>
      <c r="C115" s="66" t="s">
        <v>2942</v>
      </c>
      <c r="D115" s="67">
        <v>3</v>
      </c>
      <c r="E115" s="68"/>
      <c r="F115" s="69">
        <v>40</v>
      </c>
      <c r="G115" s="66"/>
      <c r="H115" s="70"/>
      <c r="I115" s="71"/>
      <c r="J115" s="71"/>
      <c r="K115" s="35" t="s">
        <v>65</v>
      </c>
      <c r="L115" s="79">
        <v>115</v>
      </c>
      <c r="M115" s="79"/>
      <c r="N115" s="73"/>
      <c r="O115" s="81" t="s">
        <v>563</v>
      </c>
      <c r="P115" s="81" t="s">
        <v>325</v>
      </c>
      <c r="Q115" s="84" t="s">
        <v>676</v>
      </c>
      <c r="R115" s="81" t="s">
        <v>422</v>
      </c>
      <c r="S115" s="81" t="s">
        <v>935</v>
      </c>
      <c r="T115" s="86" t="str">
        <f>HYPERLINK("http://www.youtube.com/channel/UCh3yYzeRVs-FINrguoLPzjA")</f>
        <v>http://www.youtube.com/channel/UCh3yYzeRVs-FINrguoLPzjA</v>
      </c>
      <c r="U115" s="81"/>
      <c r="V115" s="81" t="s">
        <v>1112</v>
      </c>
      <c r="W115" s="86" t="str">
        <f>HYPERLINK("https://www.youtube.com/watch?v=yknqOhpUtzQ")</f>
        <v>https://www.youtube.com/watch?v=yknqOhpUtzQ</v>
      </c>
      <c r="X115" s="81" t="s">
        <v>1183</v>
      </c>
      <c r="Y115" s="81">
        <v>0</v>
      </c>
      <c r="Z115" s="88">
        <v>42341.83746527778</v>
      </c>
      <c r="AA115" s="88">
        <v>42341.83746527778</v>
      </c>
      <c r="AB115" s="81"/>
      <c r="AC115" s="81"/>
      <c r="AD115" s="84" t="s">
        <v>1239</v>
      </c>
      <c r="AE115" s="82">
        <v>1</v>
      </c>
      <c r="AF115" s="83" t="str">
        <f>REPLACE(INDEX(GroupVertices[Group],MATCH(Edges[[#This Row],[Vertex 1]],GroupVertices[Vertex],0)),1,1,"")</f>
        <v>7</v>
      </c>
      <c r="AG115" s="83" t="str">
        <f>REPLACE(INDEX(GroupVertices[Group],MATCH(Edges[[#This Row],[Vertex 2]],GroupVertices[Vertex],0)),1,1,"")</f>
        <v>7</v>
      </c>
      <c r="AH115" s="111">
        <v>0</v>
      </c>
      <c r="AI115" s="112">
        <v>0</v>
      </c>
      <c r="AJ115" s="111">
        <v>0</v>
      </c>
      <c r="AK115" s="112">
        <v>0</v>
      </c>
      <c r="AL115" s="111">
        <v>0</v>
      </c>
      <c r="AM115" s="112">
        <v>0</v>
      </c>
      <c r="AN115" s="111">
        <v>12</v>
      </c>
      <c r="AO115" s="112">
        <v>100</v>
      </c>
      <c r="AP115" s="111">
        <v>12</v>
      </c>
    </row>
    <row r="116" spans="1:42" ht="15">
      <c r="A116" s="65" t="s">
        <v>423</v>
      </c>
      <c r="B116" s="65" t="s">
        <v>430</v>
      </c>
      <c r="C116" s="66" t="s">
        <v>2942</v>
      </c>
      <c r="D116" s="67">
        <v>3</v>
      </c>
      <c r="E116" s="68"/>
      <c r="F116" s="69">
        <v>40</v>
      </c>
      <c r="G116" s="66"/>
      <c r="H116" s="70"/>
      <c r="I116" s="71"/>
      <c r="J116" s="71"/>
      <c r="K116" s="35" t="s">
        <v>65</v>
      </c>
      <c r="L116" s="79">
        <v>116</v>
      </c>
      <c r="M116" s="79"/>
      <c r="N116" s="73"/>
      <c r="O116" s="81" t="s">
        <v>563</v>
      </c>
      <c r="P116" s="81" t="s">
        <v>325</v>
      </c>
      <c r="Q116" s="84" t="s">
        <v>677</v>
      </c>
      <c r="R116" s="81" t="s">
        <v>423</v>
      </c>
      <c r="S116" s="81" t="s">
        <v>936</v>
      </c>
      <c r="T116" s="86" t="str">
        <f>HYPERLINK("http://www.youtube.com/channel/UCixxAbFxgX_ukjZQmAnkSPw")</f>
        <v>http://www.youtube.com/channel/UCixxAbFxgX_ukjZQmAnkSPw</v>
      </c>
      <c r="U116" s="81"/>
      <c r="V116" s="81" t="s">
        <v>1112</v>
      </c>
      <c r="W116" s="86" t="str">
        <f>HYPERLINK("https://www.youtube.com/watch?v=yknqOhpUtzQ")</f>
        <v>https://www.youtube.com/watch?v=yknqOhpUtzQ</v>
      </c>
      <c r="X116" s="81" t="s">
        <v>1183</v>
      </c>
      <c r="Y116" s="81">
        <v>0</v>
      </c>
      <c r="Z116" s="88">
        <v>42425.804247685184</v>
      </c>
      <c r="AA116" s="88">
        <v>42425.804247685184</v>
      </c>
      <c r="AB116" s="81"/>
      <c r="AC116" s="81"/>
      <c r="AD116" s="84" t="s">
        <v>1239</v>
      </c>
      <c r="AE116" s="82">
        <v>1</v>
      </c>
      <c r="AF116" s="83" t="str">
        <f>REPLACE(INDEX(GroupVertices[Group],MATCH(Edges[[#This Row],[Vertex 1]],GroupVertices[Vertex],0)),1,1,"")</f>
        <v>7</v>
      </c>
      <c r="AG116" s="83" t="str">
        <f>REPLACE(INDEX(GroupVertices[Group],MATCH(Edges[[#This Row],[Vertex 2]],GroupVertices[Vertex],0)),1,1,"")</f>
        <v>7</v>
      </c>
      <c r="AH116" s="111">
        <v>0</v>
      </c>
      <c r="AI116" s="112">
        <v>0</v>
      </c>
      <c r="AJ116" s="111">
        <v>0</v>
      </c>
      <c r="AK116" s="112">
        <v>0</v>
      </c>
      <c r="AL116" s="111">
        <v>0</v>
      </c>
      <c r="AM116" s="112">
        <v>0</v>
      </c>
      <c r="AN116" s="111">
        <v>12</v>
      </c>
      <c r="AO116" s="112">
        <v>100</v>
      </c>
      <c r="AP116" s="111">
        <v>12</v>
      </c>
    </row>
    <row r="117" spans="1:42" ht="15">
      <c r="A117" s="65" t="s">
        <v>424</v>
      </c>
      <c r="B117" s="65" t="s">
        <v>430</v>
      </c>
      <c r="C117" s="66" t="s">
        <v>2942</v>
      </c>
      <c r="D117" s="67">
        <v>3</v>
      </c>
      <c r="E117" s="68"/>
      <c r="F117" s="69">
        <v>40</v>
      </c>
      <c r="G117" s="66"/>
      <c r="H117" s="70"/>
      <c r="I117" s="71"/>
      <c r="J117" s="71"/>
      <c r="K117" s="35" t="s">
        <v>65</v>
      </c>
      <c r="L117" s="79">
        <v>117</v>
      </c>
      <c r="M117" s="79"/>
      <c r="N117" s="73"/>
      <c r="O117" s="81" t="s">
        <v>563</v>
      </c>
      <c r="P117" s="81" t="s">
        <v>325</v>
      </c>
      <c r="Q117" s="84" t="s">
        <v>678</v>
      </c>
      <c r="R117" s="81" t="s">
        <v>424</v>
      </c>
      <c r="S117" s="81" t="s">
        <v>937</v>
      </c>
      <c r="T117" s="86" t="str">
        <f>HYPERLINK("http://www.youtube.com/channel/UCI9yBt6c5JsNA4ojCmidRiQ")</f>
        <v>http://www.youtube.com/channel/UCI9yBt6c5JsNA4ojCmidRiQ</v>
      </c>
      <c r="U117" s="81"/>
      <c r="V117" s="81" t="s">
        <v>1112</v>
      </c>
      <c r="W117" s="86" t="str">
        <f>HYPERLINK("https://www.youtube.com/watch?v=yknqOhpUtzQ")</f>
        <v>https://www.youtube.com/watch?v=yknqOhpUtzQ</v>
      </c>
      <c r="X117" s="81" t="s">
        <v>1183</v>
      </c>
      <c r="Y117" s="81">
        <v>0</v>
      </c>
      <c r="Z117" s="88">
        <v>42696.801666666666</v>
      </c>
      <c r="AA117" s="88">
        <v>42696.803773148145</v>
      </c>
      <c r="AB117" s="81"/>
      <c r="AC117" s="81"/>
      <c r="AD117" s="84" t="s">
        <v>1239</v>
      </c>
      <c r="AE117" s="82">
        <v>1</v>
      </c>
      <c r="AF117" s="83" t="str">
        <f>REPLACE(INDEX(GroupVertices[Group],MATCH(Edges[[#This Row],[Vertex 1]],GroupVertices[Vertex],0)),1,1,"")</f>
        <v>7</v>
      </c>
      <c r="AG117" s="83" t="str">
        <f>REPLACE(INDEX(GroupVertices[Group],MATCH(Edges[[#This Row],[Vertex 2]],GroupVertices[Vertex],0)),1,1,"")</f>
        <v>7</v>
      </c>
      <c r="AH117" s="111">
        <v>2</v>
      </c>
      <c r="AI117" s="112">
        <v>28.571428571428573</v>
      </c>
      <c r="AJ117" s="111">
        <v>0</v>
      </c>
      <c r="AK117" s="112">
        <v>0</v>
      </c>
      <c r="AL117" s="111">
        <v>0</v>
      </c>
      <c r="AM117" s="112">
        <v>0</v>
      </c>
      <c r="AN117" s="111">
        <v>5</v>
      </c>
      <c r="AO117" s="112">
        <v>71.42857142857143</v>
      </c>
      <c r="AP117" s="111">
        <v>7</v>
      </c>
    </row>
    <row r="118" spans="1:42" ht="15">
      <c r="A118" s="65" t="s">
        <v>425</v>
      </c>
      <c r="B118" s="65" t="s">
        <v>430</v>
      </c>
      <c r="C118" s="66" t="s">
        <v>2942</v>
      </c>
      <c r="D118" s="67">
        <v>3</v>
      </c>
      <c r="E118" s="68"/>
      <c r="F118" s="69">
        <v>40</v>
      </c>
      <c r="G118" s="66"/>
      <c r="H118" s="70"/>
      <c r="I118" s="71"/>
      <c r="J118" s="71"/>
      <c r="K118" s="35" t="s">
        <v>65</v>
      </c>
      <c r="L118" s="79">
        <v>118</v>
      </c>
      <c r="M118" s="79"/>
      <c r="N118" s="73"/>
      <c r="O118" s="81" t="s">
        <v>563</v>
      </c>
      <c r="P118" s="81" t="s">
        <v>325</v>
      </c>
      <c r="Q118" s="84" t="s">
        <v>679</v>
      </c>
      <c r="R118" s="81" t="s">
        <v>425</v>
      </c>
      <c r="S118" s="81" t="s">
        <v>938</v>
      </c>
      <c r="T118" s="86" t="str">
        <f>HYPERLINK("http://www.youtube.com/channel/UCKuZZ1l9Em5c5WYrPKvLJWg")</f>
        <v>http://www.youtube.com/channel/UCKuZZ1l9Em5c5WYrPKvLJWg</v>
      </c>
      <c r="U118" s="81"/>
      <c r="V118" s="81" t="s">
        <v>1112</v>
      </c>
      <c r="W118" s="86" t="str">
        <f>HYPERLINK("https://www.youtube.com/watch?v=yknqOhpUtzQ")</f>
        <v>https://www.youtube.com/watch?v=yknqOhpUtzQ</v>
      </c>
      <c r="X118" s="81" t="s">
        <v>1183</v>
      </c>
      <c r="Y118" s="81">
        <v>0</v>
      </c>
      <c r="Z118" s="88">
        <v>42998.17070601852</v>
      </c>
      <c r="AA118" s="88">
        <v>42998.17070601852</v>
      </c>
      <c r="AB118" s="81"/>
      <c r="AC118" s="81"/>
      <c r="AD118" s="84" t="s">
        <v>1239</v>
      </c>
      <c r="AE118" s="82">
        <v>1</v>
      </c>
      <c r="AF118" s="83" t="str">
        <f>REPLACE(INDEX(GroupVertices[Group],MATCH(Edges[[#This Row],[Vertex 1]],GroupVertices[Vertex],0)),1,1,"")</f>
        <v>7</v>
      </c>
      <c r="AG118" s="83" t="str">
        <f>REPLACE(INDEX(GroupVertices[Group],MATCH(Edges[[#This Row],[Vertex 2]],GroupVertices[Vertex],0)),1,1,"")</f>
        <v>7</v>
      </c>
      <c r="AH118" s="111">
        <v>2</v>
      </c>
      <c r="AI118" s="112">
        <v>50</v>
      </c>
      <c r="AJ118" s="111">
        <v>0</v>
      </c>
      <c r="AK118" s="112">
        <v>0</v>
      </c>
      <c r="AL118" s="111">
        <v>0</v>
      </c>
      <c r="AM118" s="112">
        <v>0</v>
      </c>
      <c r="AN118" s="111">
        <v>2</v>
      </c>
      <c r="AO118" s="112">
        <v>50</v>
      </c>
      <c r="AP118" s="111">
        <v>4</v>
      </c>
    </row>
    <row r="119" spans="1:42" ht="15">
      <c r="A119" s="65" t="s">
        <v>426</v>
      </c>
      <c r="B119" s="65" t="s">
        <v>552</v>
      </c>
      <c r="C119" s="66" t="s">
        <v>2942</v>
      </c>
      <c r="D119" s="67">
        <v>3</v>
      </c>
      <c r="E119" s="68"/>
      <c r="F119" s="69">
        <v>40</v>
      </c>
      <c r="G119" s="66"/>
      <c r="H119" s="70"/>
      <c r="I119" s="71"/>
      <c r="J119" s="71"/>
      <c r="K119" s="35" t="s">
        <v>65</v>
      </c>
      <c r="L119" s="79">
        <v>119</v>
      </c>
      <c r="M119" s="79"/>
      <c r="N119" s="73"/>
      <c r="O119" s="81" t="s">
        <v>563</v>
      </c>
      <c r="P119" s="81" t="s">
        <v>325</v>
      </c>
      <c r="Q119" s="84" t="s">
        <v>680</v>
      </c>
      <c r="R119" s="81" t="s">
        <v>426</v>
      </c>
      <c r="S119" s="81" t="s">
        <v>939</v>
      </c>
      <c r="T119" s="86" t="str">
        <f>HYPERLINK("http://www.youtube.com/channel/UC5lFWTaAy8fFiZpMxEhN98A")</f>
        <v>http://www.youtube.com/channel/UC5lFWTaAy8fFiZpMxEhN98A</v>
      </c>
      <c r="U119" s="81"/>
      <c r="V119" s="81" t="s">
        <v>1113</v>
      </c>
      <c r="W119" s="86" t="str">
        <f>HYPERLINK("https://www.youtube.com/watch?v=TrCcbMEkJM0")</f>
        <v>https://www.youtube.com/watch?v=TrCcbMEkJM0</v>
      </c>
      <c r="X119" s="81" t="s">
        <v>1183</v>
      </c>
      <c r="Y119" s="81">
        <v>0</v>
      </c>
      <c r="Z119" s="88">
        <v>44472.120092592595</v>
      </c>
      <c r="AA119" s="88">
        <v>44472.120092592595</v>
      </c>
      <c r="AB119" s="81"/>
      <c r="AC119" s="81"/>
      <c r="AD119" s="84" t="s">
        <v>1239</v>
      </c>
      <c r="AE119" s="82">
        <v>1</v>
      </c>
      <c r="AF119" s="83" t="str">
        <f>REPLACE(INDEX(GroupVertices[Group],MATCH(Edges[[#This Row],[Vertex 1]],GroupVertices[Vertex],0)),1,1,"")</f>
        <v>15</v>
      </c>
      <c r="AG119" s="83" t="str">
        <f>REPLACE(INDEX(GroupVertices[Group],MATCH(Edges[[#This Row],[Vertex 2]],GroupVertices[Vertex],0)),1,1,"")</f>
        <v>15</v>
      </c>
      <c r="AH119" s="111">
        <v>0</v>
      </c>
      <c r="AI119" s="112">
        <v>0</v>
      </c>
      <c r="AJ119" s="111">
        <v>1</v>
      </c>
      <c r="AK119" s="112">
        <v>12.5</v>
      </c>
      <c r="AL119" s="111">
        <v>0</v>
      </c>
      <c r="AM119" s="112">
        <v>0</v>
      </c>
      <c r="AN119" s="111">
        <v>7</v>
      </c>
      <c r="AO119" s="112">
        <v>87.5</v>
      </c>
      <c r="AP119" s="111">
        <v>8</v>
      </c>
    </row>
    <row r="120" spans="1:42" ht="15">
      <c r="A120" s="65" t="s">
        <v>427</v>
      </c>
      <c r="B120" s="65" t="s">
        <v>552</v>
      </c>
      <c r="C120" s="66" t="s">
        <v>2942</v>
      </c>
      <c r="D120" s="67">
        <v>3</v>
      </c>
      <c r="E120" s="68"/>
      <c r="F120" s="69">
        <v>40</v>
      </c>
      <c r="G120" s="66"/>
      <c r="H120" s="70"/>
      <c r="I120" s="71"/>
      <c r="J120" s="71"/>
      <c r="K120" s="35" t="s">
        <v>65</v>
      </c>
      <c r="L120" s="79">
        <v>120</v>
      </c>
      <c r="M120" s="79"/>
      <c r="N120" s="73"/>
      <c r="O120" s="81" t="s">
        <v>563</v>
      </c>
      <c r="P120" s="81" t="s">
        <v>325</v>
      </c>
      <c r="Q120" s="84" t="s">
        <v>681</v>
      </c>
      <c r="R120" s="81" t="s">
        <v>427</v>
      </c>
      <c r="S120" s="81" t="s">
        <v>940</v>
      </c>
      <c r="T120" s="86" t="str">
        <f>HYPERLINK("http://www.youtube.com/channel/UCJL0AOQJZ0BewrdqUoIoqRw")</f>
        <v>http://www.youtube.com/channel/UCJL0AOQJZ0BewrdqUoIoqRw</v>
      </c>
      <c r="U120" s="81"/>
      <c r="V120" s="81" t="s">
        <v>1113</v>
      </c>
      <c r="W120" s="86" t="str">
        <f>HYPERLINK("https://www.youtube.com/watch?v=TrCcbMEkJM0")</f>
        <v>https://www.youtube.com/watch?v=TrCcbMEkJM0</v>
      </c>
      <c r="X120" s="81" t="s">
        <v>1183</v>
      </c>
      <c r="Y120" s="81">
        <v>0</v>
      </c>
      <c r="Z120" s="88">
        <v>44646.289502314816</v>
      </c>
      <c r="AA120" s="88">
        <v>44646.289502314816</v>
      </c>
      <c r="AB120" s="81"/>
      <c r="AC120" s="81"/>
      <c r="AD120" s="84" t="s">
        <v>1239</v>
      </c>
      <c r="AE120" s="82">
        <v>1</v>
      </c>
      <c r="AF120" s="83" t="str">
        <f>REPLACE(INDEX(GroupVertices[Group],MATCH(Edges[[#This Row],[Vertex 1]],GroupVertices[Vertex],0)),1,1,"")</f>
        <v>15</v>
      </c>
      <c r="AG120" s="83" t="str">
        <f>REPLACE(INDEX(GroupVertices[Group],MATCH(Edges[[#This Row],[Vertex 2]],GroupVertices[Vertex],0)),1,1,"")</f>
        <v>15</v>
      </c>
      <c r="AH120" s="111">
        <v>1</v>
      </c>
      <c r="AI120" s="112">
        <v>25</v>
      </c>
      <c r="AJ120" s="111">
        <v>0</v>
      </c>
      <c r="AK120" s="112">
        <v>0</v>
      </c>
      <c r="AL120" s="111">
        <v>0</v>
      </c>
      <c r="AM120" s="112">
        <v>0</v>
      </c>
      <c r="AN120" s="111">
        <v>3</v>
      </c>
      <c r="AO120" s="112">
        <v>75</v>
      </c>
      <c r="AP120" s="111">
        <v>4</v>
      </c>
    </row>
    <row r="121" spans="1:42" ht="15">
      <c r="A121" s="65" t="s">
        <v>428</v>
      </c>
      <c r="B121" s="65" t="s">
        <v>430</v>
      </c>
      <c r="C121" s="66" t="s">
        <v>2942</v>
      </c>
      <c r="D121" s="67">
        <v>3</v>
      </c>
      <c r="E121" s="68"/>
      <c r="F121" s="69">
        <v>40</v>
      </c>
      <c r="G121" s="66"/>
      <c r="H121" s="70"/>
      <c r="I121" s="71"/>
      <c r="J121" s="71"/>
      <c r="K121" s="35" t="s">
        <v>65</v>
      </c>
      <c r="L121" s="79">
        <v>121</v>
      </c>
      <c r="M121" s="79"/>
      <c r="N121" s="73"/>
      <c r="O121" s="81" t="s">
        <v>563</v>
      </c>
      <c r="P121" s="81" t="s">
        <v>325</v>
      </c>
      <c r="Q121" s="84" t="s">
        <v>682</v>
      </c>
      <c r="R121" s="81" t="s">
        <v>428</v>
      </c>
      <c r="S121" s="81" t="s">
        <v>941</v>
      </c>
      <c r="T121" s="86" t="str">
        <f>HYPERLINK("http://www.youtube.com/channel/UCOTJh6zzR3-NAPJBNKaqOgw")</f>
        <v>http://www.youtube.com/channel/UCOTJh6zzR3-NAPJBNKaqOgw</v>
      </c>
      <c r="U121" s="81"/>
      <c r="V121" s="81" t="s">
        <v>1114</v>
      </c>
      <c r="W121" s="86" t="str">
        <f>HYPERLINK("https://www.youtube.com/watch?v=0snyC8fNhXo")</f>
        <v>https://www.youtube.com/watch?v=0snyC8fNhXo</v>
      </c>
      <c r="X121" s="81" t="s">
        <v>1183</v>
      </c>
      <c r="Y121" s="81">
        <v>1</v>
      </c>
      <c r="Z121" s="88">
        <v>42441.126180555555</v>
      </c>
      <c r="AA121" s="88">
        <v>42441.126180555555</v>
      </c>
      <c r="AB121" s="81"/>
      <c r="AC121" s="81"/>
      <c r="AD121" s="84" t="s">
        <v>1239</v>
      </c>
      <c r="AE121" s="82">
        <v>1</v>
      </c>
      <c r="AF121" s="83" t="str">
        <f>REPLACE(INDEX(GroupVertices[Group],MATCH(Edges[[#This Row],[Vertex 1]],GroupVertices[Vertex],0)),1,1,"")</f>
        <v>7</v>
      </c>
      <c r="AG121" s="83" t="str">
        <f>REPLACE(INDEX(GroupVertices[Group],MATCH(Edges[[#This Row],[Vertex 2]],GroupVertices[Vertex],0)),1,1,"")</f>
        <v>7</v>
      </c>
      <c r="AH121" s="111">
        <v>2</v>
      </c>
      <c r="AI121" s="112">
        <v>50</v>
      </c>
      <c r="AJ121" s="111">
        <v>0</v>
      </c>
      <c r="AK121" s="112">
        <v>0</v>
      </c>
      <c r="AL121" s="111">
        <v>0</v>
      </c>
      <c r="AM121" s="112">
        <v>0</v>
      </c>
      <c r="AN121" s="111">
        <v>2</v>
      </c>
      <c r="AO121" s="112">
        <v>50</v>
      </c>
      <c r="AP121" s="111">
        <v>4</v>
      </c>
    </row>
    <row r="122" spans="1:42" ht="15">
      <c r="A122" s="65" t="s">
        <v>429</v>
      </c>
      <c r="B122" s="65" t="s">
        <v>431</v>
      </c>
      <c r="C122" s="66" t="s">
        <v>2942</v>
      </c>
      <c r="D122" s="67">
        <v>3</v>
      </c>
      <c r="E122" s="68"/>
      <c r="F122" s="69">
        <v>40</v>
      </c>
      <c r="G122" s="66"/>
      <c r="H122" s="70"/>
      <c r="I122" s="71"/>
      <c r="J122" s="71"/>
      <c r="K122" s="35" t="s">
        <v>65</v>
      </c>
      <c r="L122" s="79">
        <v>122</v>
      </c>
      <c r="M122" s="79"/>
      <c r="N122" s="73"/>
      <c r="O122" s="81" t="s">
        <v>564</v>
      </c>
      <c r="P122" s="81" t="s">
        <v>566</v>
      </c>
      <c r="Q122" s="84" t="s">
        <v>683</v>
      </c>
      <c r="R122" s="81" t="s">
        <v>429</v>
      </c>
      <c r="S122" s="81" t="s">
        <v>942</v>
      </c>
      <c r="T122" s="86" t="str">
        <f>HYPERLINK("http://www.youtube.com/channel/UC0UMID05DoGXImC7u-VQ8cA")</f>
        <v>http://www.youtube.com/channel/UC0UMID05DoGXImC7u-VQ8cA</v>
      </c>
      <c r="U122" s="81" t="s">
        <v>1058</v>
      </c>
      <c r="V122" s="81" t="s">
        <v>1114</v>
      </c>
      <c r="W122" s="86" t="str">
        <f>HYPERLINK("https://www.youtube.com/watch?v=0snyC8fNhXo")</f>
        <v>https://www.youtube.com/watch?v=0snyC8fNhXo</v>
      </c>
      <c r="X122" s="81" t="s">
        <v>1183</v>
      </c>
      <c r="Y122" s="81">
        <v>0</v>
      </c>
      <c r="Z122" s="88">
        <v>42658.55972222222</v>
      </c>
      <c r="AA122" s="88">
        <v>42658.55972222222</v>
      </c>
      <c r="AB122" s="81"/>
      <c r="AC122" s="81"/>
      <c r="AD122" s="84" t="s">
        <v>1239</v>
      </c>
      <c r="AE122" s="82">
        <v>1</v>
      </c>
      <c r="AF122" s="83" t="str">
        <f>REPLACE(INDEX(GroupVertices[Group],MATCH(Edges[[#This Row],[Vertex 1]],GroupVertices[Vertex],0)),1,1,"")</f>
        <v>7</v>
      </c>
      <c r="AG122" s="83" t="str">
        <f>REPLACE(INDEX(GroupVertices[Group],MATCH(Edges[[#This Row],[Vertex 2]],GroupVertices[Vertex],0)),1,1,"")</f>
        <v>7</v>
      </c>
      <c r="AH122" s="111">
        <v>1</v>
      </c>
      <c r="AI122" s="112">
        <v>3.5714285714285716</v>
      </c>
      <c r="AJ122" s="111">
        <v>0</v>
      </c>
      <c r="AK122" s="112">
        <v>0</v>
      </c>
      <c r="AL122" s="111">
        <v>0</v>
      </c>
      <c r="AM122" s="112">
        <v>0</v>
      </c>
      <c r="AN122" s="111">
        <v>27</v>
      </c>
      <c r="AO122" s="112">
        <v>96.42857142857143</v>
      </c>
      <c r="AP122" s="111">
        <v>28</v>
      </c>
    </row>
    <row r="123" spans="1:42" ht="15">
      <c r="A123" s="65" t="s">
        <v>430</v>
      </c>
      <c r="B123" s="65" t="s">
        <v>431</v>
      </c>
      <c r="C123" s="66" t="s">
        <v>2942</v>
      </c>
      <c r="D123" s="67">
        <v>3</v>
      </c>
      <c r="E123" s="68"/>
      <c r="F123" s="69">
        <v>40</v>
      </c>
      <c r="G123" s="66"/>
      <c r="H123" s="70"/>
      <c r="I123" s="71"/>
      <c r="J123" s="71"/>
      <c r="K123" s="35" t="s">
        <v>66</v>
      </c>
      <c r="L123" s="79">
        <v>123</v>
      </c>
      <c r="M123" s="79"/>
      <c r="N123" s="73"/>
      <c r="O123" s="81" t="s">
        <v>564</v>
      </c>
      <c r="P123" s="81" t="s">
        <v>566</v>
      </c>
      <c r="Q123" s="84" t="s">
        <v>684</v>
      </c>
      <c r="R123" s="81" t="s">
        <v>430</v>
      </c>
      <c r="S123" s="81" t="s">
        <v>943</v>
      </c>
      <c r="T123" s="86" t="str">
        <f>HYPERLINK("http://www.youtube.com/channel/UC4B0PCHbdzSSzlHORDsaYjQ")</f>
        <v>http://www.youtube.com/channel/UC4B0PCHbdzSSzlHORDsaYjQ</v>
      </c>
      <c r="U123" s="81" t="s">
        <v>1058</v>
      </c>
      <c r="V123" s="81" t="s">
        <v>1114</v>
      </c>
      <c r="W123" s="86" t="str">
        <f>HYPERLINK("https://www.youtube.com/watch?v=0snyC8fNhXo")</f>
        <v>https://www.youtube.com/watch?v=0snyC8fNhXo</v>
      </c>
      <c r="X123" s="81" t="s">
        <v>1183</v>
      </c>
      <c r="Y123" s="81">
        <v>0</v>
      </c>
      <c r="Z123" s="88">
        <v>42556.95118055555</v>
      </c>
      <c r="AA123" s="88">
        <v>42556.95118055555</v>
      </c>
      <c r="AB123" s="81"/>
      <c r="AC123" s="81"/>
      <c r="AD123" s="84" t="s">
        <v>1239</v>
      </c>
      <c r="AE123" s="82">
        <v>1</v>
      </c>
      <c r="AF123" s="83" t="str">
        <f>REPLACE(INDEX(GroupVertices[Group],MATCH(Edges[[#This Row],[Vertex 1]],GroupVertices[Vertex],0)),1,1,"")</f>
        <v>7</v>
      </c>
      <c r="AG123" s="83" t="str">
        <f>REPLACE(INDEX(GroupVertices[Group],MATCH(Edges[[#This Row],[Vertex 2]],GroupVertices[Vertex],0)),1,1,"")</f>
        <v>7</v>
      </c>
      <c r="AH123" s="111">
        <v>0</v>
      </c>
      <c r="AI123" s="112">
        <v>0</v>
      </c>
      <c r="AJ123" s="111">
        <v>0</v>
      </c>
      <c r="AK123" s="112">
        <v>0</v>
      </c>
      <c r="AL123" s="111">
        <v>0</v>
      </c>
      <c r="AM123" s="112">
        <v>0</v>
      </c>
      <c r="AN123" s="111">
        <v>14</v>
      </c>
      <c r="AO123" s="112">
        <v>100</v>
      </c>
      <c r="AP123" s="111">
        <v>14</v>
      </c>
    </row>
    <row r="124" spans="1:42" ht="15">
      <c r="A124" s="65" t="s">
        <v>431</v>
      </c>
      <c r="B124" s="65" t="s">
        <v>430</v>
      </c>
      <c r="C124" s="66" t="s">
        <v>2942</v>
      </c>
      <c r="D124" s="67">
        <v>3</v>
      </c>
      <c r="E124" s="68"/>
      <c r="F124" s="69">
        <v>40</v>
      </c>
      <c r="G124" s="66"/>
      <c r="H124" s="70"/>
      <c r="I124" s="71"/>
      <c r="J124" s="71"/>
      <c r="K124" s="35" t="s">
        <v>66</v>
      </c>
      <c r="L124" s="79">
        <v>124</v>
      </c>
      <c r="M124" s="79"/>
      <c r="N124" s="73"/>
      <c r="O124" s="81" t="s">
        <v>563</v>
      </c>
      <c r="P124" s="81" t="s">
        <v>325</v>
      </c>
      <c r="Q124" s="84" t="s">
        <v>685</v>
      </c>
      <c r="R124" s="81" t="s">
        <v>431</v>
      </c>
      <c r="S124" s="81" t="s">
        <v>944</v>
      </c>
      <c r="T124" s="86" t="str">
        <f>HYPERLINK("http://www.youtube.com/channel/UCwya1YV0VVcNVA1ALPpaZ5g")</f>
        <v>http://www.youtube.com/channel/UCwya1YV0VVcNVA1ALPpaZ5g</v>
      </c>
      <c r="U124" s="81"/>
      <c r="V124" s="81" t="s">
        <v>1114</v>
      </c>
      <c r="W124" s="86" t="str">
        <f>HYPERLINK("https://www.youtube.com/watch?v=0snyC8fNhXo")</f>
        <v>https://www.youtube.com/watch?v=0snyC8fNhXo</v>
      </c>
      <c r="X124" s="81" t="s">
        <v>1183</v>
      </c>
      <c r="Y124" s="81">
        <v>0</v>
      </c>
      <c r="Z124" s="88">
        <v>42555.69800925926</v>
      </c>
      <c r="AA124" s="88">
        <v>42555.69800925926</v>
      </c>
      <c r="AB124" s="81"/>
      <c r="AC124" s="81"/>
      <c r="AD124" s="84" t="s">
        <v>1239</v>
      </c>
      <c r="AE124" s="82">
        <v>1</v>
      </c>
      <c r="AF124" s="83" t="str">
        <f>REPLACE(INDEX(GroupVertices[Group],MATCH(Edges[[#This Row],[Vertex 1]],GroupVertices[Vertex],0)),1,1,"")</f>
        <v>7</v>
      </c>
      <c r="AG124" s="83" t="str">
        <f>REPLACE(INDEX(GroupVertices[Group],MATCH(Edges[[#This Row],[Vertex 2]],GroupVertices[Vertex],0)),1,1,"")</f>
        <v>7</v>
      </c>
      <c r="AH124" s="111">
        <v>0</v>
      </c>
      <c r="AI124" s="112">
        <v>0</v>
      </c>
      <c r="AJ124" s="111">
        <v>0</v>
      </c>
      <c r="AK124" s="112">
        <v>0</v>
      </c>
      <c r="AL124" s="111">
        <v>0</v>
      </c>
      <c r="AM124" s="112">
        <v>0</v>
      </c>
      <c r="AN124" s="111">
        <v>10</v>
      </c>
      <c r="AO124" s="112">
        <v>100</v>
      </c>
      <c r="AP124" s="111">
        <v>10</v>
      </c>
    </row>
    <row r="125" spans="1:42" ht="15">
      <c r="A125" s="65" t="s">
        <v>369</v>
      </c>
      <c r="B125" s="65" t="s">
        <v>432</v>
      </c>
      <c r="C125" s="66" t="s">
        <v>2942</v>
      </c>
      <c r="D125" s="67">
        <v>3</v>
      </c>
      <c r="E125" s="68"/>
      <c r="F125" s="69">
        <v>40</v>
      </c>
      <c r="G125" s="66"/>
      <c r="H125" s="70"/>
      <c r="I125" s="71"/>
      <c r="J125" s="71"/>
      <c r="K125" s="35" t="s">
        <v>66</v>
      </c>
      <c r="L125" s="79">
        <v>125</v>
      </c>
      <c r="M125" s="79"/>
      <c r="N125" s="73"/>
      <c r="O125" s="81" t="s">
        <v>564</v>
      </c>
      <c r="P125" s="81" t="s">
        <v>566</v>
      </c>
      <c r="Q125" s="84" t="s">
        <v>686</v>
      </c>
      <c r="R125" s="81" t="s">
        <v>369</v>
      </c>
      <c r="S125" s="81" t="s">
        <v>882</v>
      </c>
      <c r="T125" s="86" t="str">
        <f>HYPERLINK("http://www.youtube.com/channel/UCerAw4EfTOnYYxLLPZAzMxQ")</f>
        <v>http://www.youtube.com/channel/UCerAw4EfTOnYYxLLPZAzMxQ</v>
      </c>
      <c r="U125" s="81" t="s">
        <v>1059</v>
      </c>
      <c r="V125" s="81" t="s">
        <v>1115</v>
      </c>
      <c r="W125" s="86" t="str">
        <f>HYPERLINK("https://www.youtube.com/watch?v=CwQ8IrHZDgA")</f>
        <v>https://www.youtube.com/watch?v=CwQ8IrHZDgA</v>
      </c>
      <c r="X125" s="81" t="s">
        <v>1183</v>
      </c>
      <c r="Y125" s="81">
        <v>0</v>
      </c>
      <c r="Z125" s="88">
        <v>42741.84515046296</v>
      </c>
      <c r="AA125" s="88">
        <v>42741.84515046296</v>
      </c>
      <c r="AB125" s="81"/>
      <c r="AC125" s="81"/>
      <c r="AD125" s="84" t="s">
        <v>1239</v>
      </c>
      <c r="AE125" s="82">
        <v>1</v>
      </c>
      <c r="AF125" s="83" t="str">
        <f>REPLACE(INDEX(GroupVertices[Group],MATCH(Edges[[#This Row],[Vertex 1]],GroupVertices[Vertex],0)),1,1,"")</f>
        <v>1</v>
      </c>
      <c r="AG125" s="83" t="str">
        <f>REPLACE(INDEX(GroupVertices[Group],MATCH(Edges[[#This Row],[Vertex 2]],GroupVertices[Vertex],0)),1,1,"")</f>
        <v>1</v>
      </c>
      <c r="AH125" s="111">
        <v>5</v>
      </c>
      <c r="AI125" s="112">
        <v>7.8125</v>
      </c>
      <c r="AJ125" s="111">
        <v>0</v>
      </c>
      <c r="AK125" s="112">
        <v>0</v>
      </c>
      <c r="AL125" s="111">
        <v>0</v>
      </c>
      <c r="AM125" s="112">
        <v>0</v>
      </c>
      <c r="AN125" s="111">
        <v>59</v>
      </c>
      <c r="AO125" s="112">
        <v>92.1875</v>
      </c>
      <c r="AP125" s="111">
        <v>64</v>
      </c>
    </row>
    <row r="126" spans="1:42" ht="15">
      <c r="A126" s="65" t="s">
        <v>432</v>
      </c>
      <c r="B126" s="65" t="s">
        <v>432</v>
      </c>
      <c r="C126" s="66" t="s">
        <v>2942</v>
      </c>
      <c r="D126" s="67">
        <v>3</v>
      </c>
      <c r="E126" s="68"/>
      <c r="F126" s="69">
        <v>40</v>
      </c>
      <c r="G126" s="66"/>
      <c r="H126" s="70"/>
      <c r="I126" s="71"/>
      <c r="J126" s="71"/>
      <c r="K126" s="35" t="s">
        <v>65</v>
      </c>
      <c r="L126" s="79">
        <v>126</v>
      </c>
      <c r="M126" s="79"/>
      <c r="N126" s="73"/>
      <c r="O126" s="81" t="s">
        <v>564</v>
      </c>
      <c r="P126" s="81" t="s">
        <v>566</v>
      </c>
      <c r="Q126" s="84" t="s">
        <v>687</v>
      </c>
      <c r="R126" s="81" t="s">
        <v>432</v>
      </c>
      <c r="S126" s="81" t="s">
        <v>945</v>
      </c>
      <c r="T126" s="86" t="str">
        <f>HYPERLINK("http://www.youtube.com/channel/UCuPfgSrWOc2EmNcS-dnRC8A")</f>
        <v>http://www.youtube.com/channel/UCuPfgSrWOc2EmNcS-dnRC8A</v>
      </c>
      <c r="U126" s="81" t="s">
        <v>1059</v>
      </c>
      <c r="V126" s="81" t="s">
        <v>1115</v>
      </c>
      <c r="W126" s="86" t="str">
        <f>HYPERLINK("https://www.youtube.com/watch?v=CwQ8IrHZDgA")</f>
        <v>https://www.youtube.com/watch?v=CwQ8IrHZDgA</v>
      </c>
      <c r="X126" s="81" t="s">
        <v>1183</v>
      </c>
      <c r="Y126" s="81">
        <v>0</v>
      </c>
      <c r="Z126" s="88">
        <v>42742.3041087963</v>
      </c>
      <c r="AA126" s="88">
        <v>42742.3041087963</v>
      </c>
      <c r="AB126" s="81"/>
      <c r="AC126" s="81"/>
      <c r="AD126" s="84" t="s">
        <v>1239</v>
      </c>
      <c r="AE126" s="82">
        <v>1</v>
      </c>
      <c r="AF126" s="83" t="str">
        <f>REPLACE(INDEX(GroupVertices[Group],MATCH(Edges[[#This Row],[Vertex 1]],GroupVertices[Vertex],0)),1,1,"")</f>
        <v>1</v>
      </c>
      <c r="AG126" s="83" t="str">
        <f>REPLACE(INDEX(GroupVertices[Group],MATCH(Edges[[#This Row],[Vertex 2]],GroupVertices[Vertex],0)),1,1,"")</f>
        <v>1</v>
      </c>
      <c r="AH126" s="111">
        <v>2</v>
      </c>
      <c r="AI126" s="112">
        <v>33.333333333333336</v>
      </c>
      <c r="AJ126" s="111">
        <v>0</v>
      </c>
      <c r="AK126" s="112">
        <v>0</v>
      </c>
      <c r="AL126" s="111">
        <v>0</v>
      </c>
      <c r="AM126" s="112">
        <v>0</v>
      </c>
      <c r="AN126" s="111">
        <v>4</v>
      </c>
      <c r="AO126" s="112">
        <v>66.66666666666667</v>
      </c>
      <c r="AP126" s="111">
        <v>6</v>
      </c>
    </row>
    <row r="127" spans="1:42" ht="15">
      <c r="A127" s="65" t="s">
        <v>432</v>
      </c>
      <c r="B127" s="65" t="s">
        <v>369</v>
      </c>
      <c r="C127" s="66" t="s">
        <v>2942</v>
      </c>
      <c r="D127" s="67">
        <v>3</v>
      </c>
      <c r="E127" s="68"/>
      <c r="F127" s="69">
        <v>40</v>
      </c>
      <c r="G127" s="66"/>
      <c r="H127" s="70"/>
      <c r="I127" s="71"/>
      <c r="J127" s="71"/>
      <c r="K127" s="35" t="s">
        <v>66</v>
      </c>
      <c r="L127" s="79">
        <v>127</v>
      </c>
      <c r="M127" s="79"/>
      <c r="N127" s="73"/>
      <c r="O127" s="81" t="s">
        <v>563</v>
      </c>
      <c r="P127" s="81" t="s">
        <v>325</v>
      </c>
      <c r="Q127" s="84" t="s">
        <v>688</v>
      </c>
      <c r="R127" s="81" t="s">
        <v>432</v>
      </c>
      <c r="S127" s="81" t="s">
        <v>945</v>
      </c>
      <c r="T127" s="86" t="str">
        <f>HYPERLINK("http://www.youtube.com/channel/UCuPfgSrWOc2EmNcS-dnRC8A")</f>
        <v>http://www.youtube.com/channel/UCuPfgSrWOc2EmNcS-dnRC8A</v>
      </c>
      <c r="U127" s="81"/>
      <c r="V127" s="81" t="s">
        <v>1115</v>
      </c>
      <c r="W127" s="86" t="str">
        <f>HYPERLINK("https://www.youtube.com/watch?v=CwQ8IrHZDgA")</f>
        <v>https://www.youtube.com/watch?v=CwQ8IrHZDgA</v>
      </c>
      <c r="X127" s="81" t="s">
        <v>1183</v>
      </c>
      <c r="Y127" s="81">
        <v>0</v>
      </c>
      <c r="Z127" s="88">
        <v>42741.77894675926</v>
      </c>
      <c r="AA127" s="88">
        <v>42741.77894675926</v>
      </c>
      <c r="AB127" s="81"/>
      <c r="AC127" s="81"/>
      <c r="AD127" s="84" t="s">
        <v>1239</v>
      </c>
      <c r="AE127" s="82">
        <v>1</v>
      </c>
      <c r="AF127" s="83" t="str">
        <f>REPLACE(INDEX(GroupVertices[Group],MATCH(Edges[[#This Row],[Vertex 1]],GroupVertices[Vertex],0)),1,1,"")</f>
        <v>1</v>
      </c>
      <c r="AG127" s="83" t="str">
        <f>REPLACE(INDEX(GroupVertices[Group],MATCH(Edges[[#This Row],[Vertex 2]],GroupVertices[Vertex],0)),1,1,"")</f>
        <v>1</v>
      </c>
      <c r="AH127" s="111">
        <v>2</v>
      </c>
      <c r="AI127" s="112">
        <v>3.389830508474576</v>
      </c>
      <c r="AJ127" s="111">
        <v>0</v>
      </c>
      <c r="AK127" s="112">
        <v>0</v>
      </c>
      <c r="AL127" s="111">
        <v>0</v>
      </c>
      <c r="AM127" s="112">
        <v>0</v>
      </c>
      <c r="AN127" s="111">
        <v>57</v>
      </c>
      <c r="AO127" s="112">
        <v>96.61016949152543</v>
      </c>
      <c r="AP127" s="111">
        <v>59</v>
      </c>
    </row>
    <row r="128" spans="1:42" ht="15">
      <c r="A128" s="65" t="s">
        <v>433</v>
      </c>
      <c r="B128" s="65" t="s">
        <v>369</v>
      </c>
      <c r="C128" s="66" t="s">
        <v>2942</v>
      </c>
      <c r="D128" s="67">
        <v>3</v>
      </c>
      <c r="E128" s="68"/>
      <c r="F128" s="69">
        <v>40</v>
      </c>
      <c r="G128" s="66"/>
      <c r="H128" s="70"/>
      <c r="I128" s="71"/>
      <c r="J128" s="71"/>
      <c r="K128" s="35" t="s">
        <v>65</v>
      </c>
      <c r="L128" s="79">
        <v>128</v>
      </c>
      <c r="M128" s="79"/>
      <c r="N128" s="73"/>
      <c r="O128" s="81" t="s">
        <v>563</v>
      </c>
      <c r="P128" s="81" t="s">
        <v>325</v>
      </c>
      <c r="Q128" s="84" t="s">
        <v>689</v>
      </c>
      <c r="R128" s="81" t="s">
        <v>433</v>
      </c>
      <c r="S128" s="81" t="s">
        <v>946</v>
      </c>
      <c r="T128" s="86" t="str">
        <f>HYPERLINK("http://www.youtube.com/channel/UCdtcABJ52mOHCXSIzO6SpGA")</f>
        <v>http://www.youtube.com/channel/UCdtcABJ52mOHCXSIzO6SpGA</v>
      </c>
      <c r="U128" s="81"/>
      <c r="V128" s="81" t="s">
        <v>1116</v>
      </c>
      <c r="W128" s="86" t="str">
        <f>HYPERLINK("https://www.youtube.com/watch?v=t8YHRVf60BU")</f>
        <v>https://www.youtube.com/watch?v=t8YHRVf60BU</v>
      </c>
      <c r="X128" s="81" t="s">
        <v>1183</v>
      </c>
      <c r="Y128" s="81">
        <v>0</v>
      </c>
      <c r="Z128" s="88">
        <v>41773.90170138889</v>
      </c>
      <c r="AA128" s="88">
        <v>41773.90170138889</v>
      </c>
      <c r="AB128" s="81"/>
      <c r="AC128" s="81"/>
      <c r="AD128" s="84" t="s">
        <v>1239</v>
      </c>
      <c r="AE128" s="82">
        <v>1</v>
      </c>
      <c r="AF128" s="83" t="str">
        <f>REPLACE(INDEX(GroupVertices[Group],MATCH(Edges[[#This Row],[Vertex 1]],GroupVertices[Vertex],0)),1,1,"")</f>
        <v>1</v>
      </c>
      <c r="AG128" s="83" t="str">
        <f>REPLACE(INDEX(GroupVertices[Group],MATCH(Edges[[#This Row],[Vertex 2]],GroupVertices[Vertex],0)),1,1,"")</f>
        <v>1</v>
      </c>
      <c r="AH128" s="111">
        <v>1</v>
      </c>
      <c r="AI128" s="112">
        <v>50</v>
      </c>
      <c r="AJ128" s="111">
        <v>0</v>
      </c>
      <c r="AK128" s="112">
        <v>0</v>
      </c>
      <c r="AL128" s="111">
        <v>0</v>
      </c>
      <c r="AM128" s="112">
        <v>0</v>
      </c>
      <c r="AN128" s="111">
        <v>1</v>
      </c>
      <c r="AO128" s="112">
        <v>50</v>
      </c>
      <c r="AP128" s="111">
        <v>2</v>
      </c>
    </row>
    <row r="129" spans="1:42" ht="15">
      <c r="A129" s="65" t="s">
        <v>434</v>
      </c>
      <c r="B129" s="65" t="s">
        <v>369</v>
      </c>
      <c r="C129" s="66" t="s">
        <v>2942</v>
      </c>
      <c r="D129" s="67">
        <v>3</v>
      </c>
      <c r="E129" s="68"/>
      <c r="F129" s="69">
        <v>40</v>
      </c>
      <c r="G129" s="66"/>
      <c r="H129" s="70"/>
      <c r="I129" s="71"/>
      <c r="J129" s="71"/>
      <c r="K129" s="35" t="s">
        <v>65</v>
      </c>
      <c r="L129" s="79">
        <v>129</v>
      </c>
      <c r="M129" s="79"/>
      <c r="N129" s="73"/>
      <c r="O129" s="81" t="s">
        <v>563</v>
      </c>
      <c r="P129" s="81" t="s">
        <v>325</v>
      </c>
      <c r="Q129" s="84" t="s">
        <v>690</v>
      </c>
      <c r="R129" s="81" t="s">
        <v>434</v>
      </c>
      <c r="S129" s="81" t="s">
        <v>947</v>
      </c>
      <c r="T129" s="86" t="str">
        <f>HYPERLINK("http://www.youtube.com/channel/UC9cKkmwkK5RE3Yon6NglcwA")</f>
        <v>http://www.youtube.com/channel/UC9cKkmwkK5RE3Yon6NglcwA</v>
      </c>
      <c r="U129" s="81"/>
      <c r="V129" s="81" t="s">
        <v>1116</v>
      </c>
      <c r="W129" s="86" t="str">
        <f>HYPERLINK("https://www.youtube.com/watch?v=t8YHRVf60BU")</f>
        <v>https://www.youtube.com/watch?v=t8YHRVf60BU</v>
      </c>
      <c r="X129" s="81" t="s">
        <v>1183</v>
      </c>
      <c r="Y129" s="81">
        <v>0</v>
      </c>
      <c r="Z129" s="88">
        <v>42227.68712962963</v>
      </c>
      <c r="AA129" s="88">
        <v>42227.68712962963</v>
      </c>
      <c r="AB129" s="81"/>
      <c r="AC129" s="81"/>
      <c r="AD129" s="84" t="s">
        <v>1239</v>
      </c>
      <c r="AE129" s="82">
        <v>1</v>
      </c>
      <c r="AF129" s="83" t="str">
        <f>REPLACE(INDEX(GroupVertices[Group],MATCH(Edges[[#This Row],[Vertex 1]],GroupVertices[Vertex],0)),1,1,"")</f>
        <v>1</v>
      </c>
      <c r="AG129" s="83" t="str">
        <f>REPLACE(INDEX(GroupVertices[Group],MATCH(Edges[[#This Row],[Vertex 2]],GroupVertices[Vertex],0)),1,1,"")</f>
        <v>1</v>
      </c>
      <c r="AH129" s="111">
        <v>2</v>
      </c>
      <c r="AI129" s="112">
        <v>66.66666666666667</v>
      </c>
      <c r="AJ129" s="111">
        <v>0</v>
      </c>
      <c r="AK129" s="112">
        <v>0</v>
      </c>
      <c r="AL129" s="111">
        <v>0</v>
      </c>
      <c r="AM129" s="112">
        <v>0</v>
      </c>
      <c r="AN129" s="111">
        <v>1</v>
      </c>
      <c r="AO129" s="112">
        <v>33.333333333333336</v>
      </c>
      <c r="AP129" s="111">
        <v>3</v>
      </c>
    </row>
    <row r="130" spans="1:42" ht="15">
      <c r="A130" s="65" t="s">
        <v>435</v>
      </c>
      <c r="B130" s="65" t="s">
        <v>561</v>
      </c>
      <c r="C130" s="66" t="s">
        <v>2942</v>
      </c>
      <c r="D130" s="67">
        <v>3</v>
      </c>
      <c r="E130" s="68"/>
      <c r="F130" s="69">
        <v>40</v>
      </c>
      <c r="G130" s="66"/>
      <c r="H130" s="70"/>
      <c r="I130" s="71"/>
      <c r="J130" s="71"/>
      <c r="K130" s="35" t="s">
        <v>65</v>
      </c>
      <c r="L130" s="79">
        <v>130</v>
      </c>
      <c r="M130" s="79"/>
      <c r="N130" s="73"/>
      <c r="O130" s="81" t="s">
        <v>563</v>
      </c>
      <c r="P130" s="81" t="s">
        <v>325</v>
      </c>
      <c r="Q130" s="84" t="s">
        <v>691</v>
      </c>
      <c r="R130" s="81" t="s">
        <v>435</v>
      </c>
      <c r="S130" s="81" t="s">
        <v>948</v>
      </c>
      <c r="T130" s="86" t="str">
        <f>HYPERLINK("http://www.youtube.com/channel/UC6OBGTpqEY5Pn4-4xWg8QhQ")</f>
        <v>http://www.youtube.com/channel/UC6OBGTpqEY5Pn4-4xWg8QhQ</v>
      </c>
      <c r="U130" s="81"/>
      <c r="V130" s="81" t="s">
        <v>1117</v>
      </c>
      <c r="W130" s="86" t="str">
        <f>HYPERLINK("https://www.youtube.com/watch?v=owl9we4ldFI")</f>
        <v>https://www.youtube.com/watch?v=owl9we4ldFI</v>
      </c>
      <c r="X130" s="81" t="s">
        <v>1183</v>
      </c>
      <c r="Y130" s="81">
        <v>0</v>
      </c>
      <c r="Z130" s="88">
        <v>43609.72491898148</v>
      </c>
      <c r="AA130" s="88">
        <v>43609.72491898148</v>
      </c>
      <c r="AB130" s="81"/>
      <c r="AC130" s="81"/>
      <c r="AD130" s="84" t="s">
        <v>1239</v>
      </c>
      <c r="AE130" s="82">
        <v>1</v>
      </c>
      <c r="AF130" s="83" t="str">
        <f>REPLACE(INDEX(GroupVertices[Group],MATCH(Edges[[#This Row],[Vertex 1]],GroupVertices[Vertex],0)),1,1,"")</f>
        <v>3</v>
      </c>
      <c r="AG130" s="83" t="str">
        <f>REPLACE(INDEX(GroupVertices[Group],MATCH(Edges[[#This Row],[Vertex 2]],GroupVertices[Vertex],0)),1,1,"")</f>
        <v>3</v>
      </c>
      <c r="AH130" s="111">
        <v>3</v>
      </c>
      <c r="AI130" s="112">
        <v>10</v>
      </c>
      <c r="AJ130" s="111">
        <v>0</v>
      </c>
      <c r="AK130" s="112">
        <v>0</v>
      </c>
      <c r="AL130" s="111">
        <v>0</v>
      </c>
      <c r="AM130" s="112">
        <v>0</v>
      </c>
      <c r="AN130" s="111">
        <v>27</v>
      </c>
      <c r="AO130" s="112">
        <v>90</v>
      </c>
      <c r="AP130" s="111">
        <v>30</v>
      </c>
    </row>
    <row r="131" spans="1:42" ht="15">
      <c r="A131" s="65" t="s">
        <v>436</v>
      </c>
      <c r="B131" s="65" t="s">
        <v>561</v>
      </c>
      <c r="C131" s="66" t="s">
        <v>2942</v>
      </c>
      <c r="D131" s="67">
        <v>3</v>
      </c>
      <c r="E131" s="68"/>
      <c r="F131" s="69">
        <v>40</v>
      </c>
      <c r="G131" s="66"/>
      <c r="H131" s="70"/>
      <c r="I131" s="71"/>
      <c r="J131" s="71"/>
      <c r="K131" s="35" t="s">
        <v>65</v>
      </c>
      <c r="L131" s="79">
        <v>131</v>
      </c>
      <c r="M131" s="79"/>
      <c r="N131" s="73"/>
      <c r="O131" s="81" t="s">
        <v>563</v>
      </c>
      <c r="P131" s="81" t="s">
        <v>325</v>
      </c>
      <c r="Q131" s="84" t="s">
        <v>692</v>
      </c>
      <c r="R131" s="81" t="s">
        <v>436</v>
      </c>
      <c r="S131" s="81" t="s">
        <v>949</v>
      </c>
      <c r="T131" s="86" t="str">
        <f>HYPERLINK("http://www.youtube.com/channel/UCCwmutQCZD-xOlzyKKl5fag")</f>
        <v>http://www.youtube.com/channel/UCCwmutQCZD-xOlzyKKl5fag</v>
      </c>
      <c r="U131" s="81"/>
      <c r="V131" s="81" t="s">
        <v>1117</v>
      </c>
      <c r="W131" s="86" t="str">
        <f>HYPERLINK("https://www.youtube.com/watch?v=owl9we4ldFI")</f>
        <v>https://www.youtube.com/watch?v=owl9we4ldFI</v>
      </c>
      <c r="X131" s="81" t="s">
        <v>1183</v>
      </c>
      <c r="Y131" s="81">
        <v>2</v>
      </c>
      <c r="Z131" s="88">
        <v>43693.67827546296</v>
      </c>
      <c r="AA131" s="88">
        <v>43693.67827546296</v>
      </c>
      <c r="AB131" s="81"/>
      <c r="AC131" s="81"/>
      <c r="AD131" s="84" t="s">
        <v>1239</v>
      </c>
      <c r="AE131" s="82">
        <v>1</v>
      </c>
      <c r="AF131" s="83" t="str">
        <f>REPLACE(INDEX(GroupVertices[Group],MATCH(Edges[[#This Row],[Vertex 1]],GroupVertices[Vertex],0)),1,1,"")</f>
        <v>3</v>
      </c>
      <c r="AG131" s="83" t="str">
        <f>REPLACE(INDEX(GroupVertices[Group],MATCH(Edges[[#This Row],[Vertex 2]],GroupVertices[Vertex],0)),1,1,"")</f>
        <v>3</v>
      </c>
      <c r="AH131" s="111">
        <v>2</v>
      </c>
      <c r="AI131" s="112">
        <v>6.896551724137931</v>
      </c>
      <c r="AJ131" s="111">
        <v>1</v>
      </c>
      <c r="AK131" s="112">
        <v>3.4482758620689653</v>
      </c>
      <c r="AL131" s="111">
        <v>0</v>
      </c>
      <c r="AM131" s="112">
        <v>0</v>
      </c>
      <c r="AN131" s="111">
        <v>26</v>
      </c>
      <c r="AO131" s="112">
        <v>89.65517241379311</v>
      </c>
      <c r="AP131" s="111">
        <v>29</v>
      </c>
    </row>
    <row r="132" spans="1:42" ht="15">
      <c r="A132" s="65" t="s">
        <v>437</v>
      </c>
      <c r="B132" s="65" t="s">
        <v>560</v>
      </c>
      <c r="C132" s="66" t="s">
        <v>2942</v>
      </c>
      <c r="D132" s="67">
        <v>3</v>
      </c>
      <c r="E132" s="68"/>
      <c r="F132" s="69">
        <v>40</v>
      </c>
      <c r="G132" s="66"/>
      <c r="H132" s="70"/>
      <c r="I132" s="71"/>
      <c r="J132" s="71"/>
      <c r="K132" s="35" t="s">
        <v>65</v>
      </c>
      <c r="L132" s="79">
        <v>132</v>
      </c>
      <c r="M132" s="79"/>
      <c r="N132" s="73"/>
      <c r="O132" s="81" t="s">
        <v>563</v>
      </c>
      <c r="P132" s="81" t="s">
        <v>325</v>
      </c>
      <c r="Q132" s="84" t="s">
        <v>693</v>
      </c>
      <c r="R132" s="81" t="s">
        <v>437</v>
      </c>
      <c r="S132" s="81" t="s">
        <v>950</v>
      </c>
      <c r="T132" s="86" t="str">
        <f>HYPERLINK("http://www.youtube.com/channel/UChPvILLGvBiP_SiUg9srazw")</f>
        <v>http://www.youtube.com/channel/UChPvILLGvBiP_SiUg9srazw</v>
      </c>
      <c r="U132" s="81"/>
      <c r="V132" s="81" t="s">
        <v>1118</v>
      </c>
      <c r="W132" s="86" t="str">
        <f>HYPERLINK("https://www.youtube.com/watch?v=mjAq8eA7uOM")</f>
        <v>https://www.youtube.com/watch?v=mjAq8eA7uOM</v>
      </c>
      <c r="X132" s="81" t="s">
        <v>1183</v>
      </c>
      <c r="Y132" s="81">
        <v>0</v>
      </c>
      <c r="Z132" s="88">
        <v>44536.607615740744</v>
      </c>
      <c r="AA132" s="88">
        <v>44536.607615740744</v>
      </c>
      <c r="AB132" s="81"/>
      <c r="AC132" s="81"/>
      <c r="AD132" s="84" t="s">
        <v>1239</v>
      </c>
      <c r="AE132" s="82">
        <v>1</v>
      </c>
      <c r="AF132" s="83" t="str">
        <f>REPLACE(INDEX(GroupVertices[Group],MATCH(Edges[[#This Row],[Vertex 1]],GroupVertices[Vertex],0)),1,1,"")</f>
        <v>4</v>
      </c>
      <c r="AG132" s="83" t="str">
        <f>REPLACE(INDEX(GroupVertices[Group],MATCH(Edges[[#This Row],[Vertex 2]],GroupVertices[Vertex],0)),1,1,"")</f>
        <v>4</v>
      </c>
      <c r="AH132" s="111">
        <v>0</v>
      </c>
      <c r="AI132" s="112">
        <v>0</v>
      </c>
      <c r="AJ132" s="111">
        <v>0</v>
      </c>
      <c r="AK132" s="112">
        <v>0</v>
      </c>
      <c r="AL132" s="111">
        <v>0</v>
      </c>
      <c r="AM132" s="112">
        <v>0</v>
      </c>
      <c r="AN132" s="111">
        <v>2</v>
      </c>
      <c r="AO132" s="112">
        <v>100</v>
      </c>
      <c r="AP132" s="111">
        <v>2</v>
      </c>
    </row>
    <row r="133" spans="1:42" ht="15">
      <c r="A133" s="65" t="s">
        <v>438</v>
      </c>
      <c r="B133" s="65" t="s">
        <v>555</v>
      </c>
      <c r="C133" s="66" t="s">
        <v>2942</v>
      </c>
      <c r="D133" s="67">
        <v>3</v>
      </c>
      <c r="E133" s="68"/>
      <c r="F133" s="69">
        <v>40</v>
      </c>
      <c r="G133" s="66"/>
      <c r="H133" s="70"/>
      <c r="I133" s="71"/>
      <c r="J133" s="71"/>
      <c r="K133" s="35" t="s">
        <v>65</v>
      </c>
      <c r="L133" s="79">
        <v>133</v>
      </c>
      <c r="M133" s="79"/>
      <c r="N133" s="73"/>
      <c r="O133" s="81" t="s">
        <v>563</v>
      </c>
      <c r="P133" s="81" t="s">
        <v>325</v>
      </c>
      <c r="Q133" s="84" t="s">
        <v>694</v>
      </c>
      <c r="R133" s="81" t="s">
        <v>438</v>
      </c>
      <c r="S133" s="81" t="s">
        <v>951</v>
      </c>
      <c r="T133" s="86" t="str">
        <f>HYPERLINK("http://www.youtube.com/channel/UCkNEkfKxEtYneNKzdgiefWg")</f>
        <v>http://www.youtube.com/channel/UCkNEkfKxEtYneNKzdgiefWg</v>
      </c>
      <c r="U133" s="81"/>
      <c r="V133" s="81" t="s">
        <v>1119</v>
      </c>
      <c r="W133" s="86" t="str">
        <f>HYPERLINK("https://www.youtube.com/watch?v=leNjC1CQiow")</f>
        <v>https://www.youtube.com/watch?v=leNjC1CQiow</v>
      </c>
      <c r="X133" s="81" t="s">
        <v>1183</v>
      </c>
      <c r="Y133" s="81">
        <v>3</v>
      </c>
      <c r="Z133" s="88">
        <v>43568.94461805555</v>
      </c>
      <c r="AA133" s="88">
        <v>43568.94461805555</v>
      </c>
      <c r="AB133" s="81"/>
      <c r="AC133" s="81"/>
      <c r="AD133" s="84" t="s">
        <v>1239</v>
      </c>
      <c r="AE133" s="82">
        <v>1</v>
      </c>
      <c r="AF133" s="83" t="str">
        <f>REPLACE(INDEX(GroupVertices[Group],MATCH(Edges[[#This Row],[Vertex 1]],GroupVertices[Vertex],0)),1,1,"")</f>
        <v>4</v>
      </c>
      <c r="AG133" s="83" t="str">
        <f>REPLACE(INDEX(GroupVertices[Group],MATCH(Edges[[#This Row],[Vertex 2]],GroupVertices[Vertex],0)),1,1,"")</f>
        <v>4</v>
      </c>
      <c r="AH133" s="111">
        <v>1</v>
      </c>
      <c r="AI133" s="112">
        <v>10</v>
      </c>
      <c r="AJ133" s="111">
        <v>0</v>
      </c>
      <c r="AK133" s="112">
        <v>0</v>
      </c>
      <c r="AL133" s="111">
        <v>0</v>
      </c>
      <c r="AM133" s="112">
        <v>0</v>
      </c>
      <c r="AN133" s="111">
        <v>9</v>
      </c>
      <c r="AO133" s="112">
        <v>90</v>
      </c>
      <c r="AP133" s="111">
        <v>10</v>
      </c>
    </row>
    <row r="134" spans="1:42" ht="15">
      <c r="A134" s="65" t="s">
        <v>439</v>
      </c>
      <c r="B134" s="65" t="s">
        <v>440</v>
      </c>
      <c r="C134" s="66" t="s">
        <v>2942</v>
      </c>
      <c r="D134" s="67">
        <v>3</v>
      </c>
      <c r="E134" s="68"/>
      <c r="F134" s="69">
        <v>40</v>
      </c>
      <c r="G134" s="66"/>
      <c r="H134" s="70"/>
      <c r="I134" s="71"/>
      <c r="J134" s="71"/>
      <c r="K134" s="35" t="s">
        <v>65</v>
      </c>
      <c r="L134" s="79">
        <v>134</v>
      </c>
      <c r="M134" s="79"/>
      <c r="N134" s="73"/>
      <c r="O134" s="81" t="s">
        <v>564</v>
      </c>
      <c r="P134" s="81" t="s">
        <v>566</v>
      </c>
      <c r="Q134" s="84" t="s">
        <v>695</v>
      </c>
      <c r="R134" s="81" t="s">
        <v>439</v>
      </c>
      <c r="S134" s="81" t="s">
        <v>952</v>
      </c>
      <c r="T134" s="86" t="str">
        <f>HYPERLINK("http://www.youtube.com/channel/UC-abaNhleZ9l8u2eiQgIHXA")</f>
        <v>http://www.youtube.com/channel/UC-abaNhleZ9l8u2eiQgIHXA</v>
      </c>
      <c r="U134" s="81" t="s">
        <v>1060</v>
      </c>
      <c r="V134" s="81" t="s">
        <v>1120</v>
      </c>
      <c r="W134" s="86" t="str">
        <f>HYPERLINK("https://www.youtube.com/watch?v=-dB0rwt6_U8")</f>
        <v>https://www.youtube.com/watch?v=-dB0rwt6_U8</v>
      </c>
      <c r="X134" s="81" t="s">
        <v>1183</v>
      </c>
      <c r="Y134" s="81">
        <v>0</v>
      </c>
      <c r="Z134" s="88">
        <v>44153.51086805556</v>
      </c>
      <c r="AA134" s="88">
        <v>44153.51086805556</v>
      </c>
      <c r="AB134" s="81"/>
      <c r="AC134" s="81"/>
      <c r="AD134" s="84" t="s">
        <v>1239</v>
      </c>
      <c r="AE134" s="82">
        <v>1</v>
      </c>
      <c r="AF134" s="83" t="str">
        <f>REPLACE(INDEX(GroupVertices[Group],MATCH(Edges[[#This Row],[Vertex 1]],GroupVertices[Vertex],0)),1,1,"")</f>
        <v>5</v>
      </c>
      <c r="AG134" s="83" t="str">
        <f>REPLACE(INDEX(GroupVertices[Group],MATCH(Edges[[#This Row],[Vertex 2]],GroupVertices[Vertex],0)),1,1,"")</f>
        <v>5</v>
      </c>
      <c r="AH134" s="111">
        <v>0</v>
      </c>
      <c r="AI134" s="112">
        <v>0</v>
      </c>
      <c r="AJ134" s="111">
        <v>0</v>
      </c>
      <c r="AK134" s="112">
        <v>0</v>
      </c>
      <c r="AL134" s="111">
        <v>0</v>
      </c>
      <c r="AM134" s="112">
        <v>0</v>
      </c>
      <c r="AN134" s="111">
        <v>32</v>
      </c>
      <c r="AO134" s="112">
        <v>100</v>
      </c>
      <c r="AP134" s="111">
        <v>32</v>
      </c>
    </row>
    <row r="135" spans="1:42" ht="15">
      <c r="A135" s="65" t="s">
        <v>440</v>
      </c>
      <c r="B135" s="65" t="s">
        <v>441</v>
      </c>
      <c r="C135" s="66" t="s">
        <v>2942</v>
      </c>
      <c r="D135" s="67">
        <v>3</v>
      </c>
      <c r="E135" s="68"/>
      <c r="F135" s="69">
        <v>40</v>
      </c>
      <c r="G135" s="66"/>
      <c r="H135" s="70"/>
      <c r="I135" s="71"/>
      <c r="J135" s="71"/>
      <c r="K135" s="35" t="s">
        <v>65</v>
      </c>
      <c r="L135" s="79">
        <v>135</v>
      </c>
      <c r="M135" s="79"/>
      <c r="N135" s="73"/>
      <c r="O135" s="81" t="s">
        <v>563</v>
      </c>
      <c r="P135" s="81" t="s">
        <v>325</v>
      </c>
      <c r="Q135" s="84" t="s">
        <v>696</v>
      </c>
      <c r="R135" s="81" t="s">
        <v>440</v>
      </c>
      <c r="S135" s="81" t="s">
        <v>953</v>
      </c>
      <c r="T135" s="86" t="str">
        <f>HYPERLINK("http://www.youtube.com/channel/UCmB6rgL4vwKdmtRwoK6hNRA")</f>
        <v>http://www.youtube.com/channel/UCmB6rgL4vwKdmtRwoK6hNRA</v>
      </c>
      <c r="U135" s="81"/>
      <c r="V135" s="81" t="s">
        <v>1120</v>
      </c>
      <c r="W135" s="86" t="str">
        <f>HYPERLINK("https://www.youtube.com/watch?v=-dB0rwt6_U8")</f>
        <v>https://www.youtube.com/watch?v=-dB0rwt6_U8</v>
      </c>
      <c r="X135" s="81" t="s">
        <v>1183</v>
      </c>
      <c r="Y135" s="81">
        <v>0</v>
      </c>
      <c r="Z135" s="88">
        <v>43897.726168981484</v>
      </c>
      <c r="AA135" s="88">
        <v>43897.726168981484</v>
      </c>
      <c r="AB135" s="81"/>
      <c r="AC135" s="81"/>
      <c r="AD135" s="84" t="s">
        <v>1239</v>
      </c>
      <c r="AE135" s="82">
        <v>1</v>
      </c>
      <c r="AF135" s="83" t="str">
        <f>REPLACE(INDEX(GroupVertices[Group],MATCH(Edges[[#This Row],[Vertex 1]],GroupVertices[Vertex],0)),1,1,"")</f>
        <v>5</v>
      </c>
      <c r="AG135" s="83" t="str">
        <f>REPLACE(INDEX(GroupVertices[Group],MATCH(Edges[[#This Row],[Vertex 2]],GroupVertices[Vertex],0)),1,1,"")</f>
        <v>5</v>
      </c>
      <c r="AH135" s="111">
        <v>0</v>
      </c>
      <c r="AI135" s="112">
        <v>0</v>
      </c>
      <c r="AJ135" s="111">
        <v>0</v>
      </c>
      <c r="AK135" s="112">
        <v>0</v>
      </c>
      <c r="AL135" s="111">
        <v>0</v>
      </c>
      <c r="AM135" s="112">
        <v>0</v>
      </c>
      <c r="AN135" s="111">
        <v>22</v>
      </c>
      <c r="AO135" s="112">
        <v>100</v>
      </c>
      <c r="AP135" s="111">
        <v>22</v>
      </c>
    </row>
    <row r="136" spans="1:42" ht="15">
      <c r="A136" s="65" t="s">
        <v>441</v>
      </c>
      <c r="B136" s="65" t="s">
        <v>442</v>
      </c>
      <c r="C136" s="66" t="s">
        <v>2942</v>
      </c>
      <c r="D136" s="67">
        <v>3</v>
      </c>
      <c r="E136" s="68"/>
      <c r="F136" s="69">
        <v>40</v>
      </c>
      <c r="G136" s="66"/>
      <c r="H136" s="70"/>
      <c r="I136" s="71"/>
      <c r="J136" s="71"/>
      <c r="K136" s="35" t="s">
        <v>66</v>
      </c>
      <c r="L136" s="79">
        <v>136</v>
      </c>
      <c r="M136" s="79"/>
      <c r="N136" s="73"/>
      <c r="O136" s="81" t="s">
        <v>564</v>
      </c>
      <c r="P136" s="81" t="s">
        <v>566</v>
      </c>
      <c r="Q136" s="84" t="s">
        <v>697</v>
      </c>
      <c r="R136" s="81" t="s">
        <v>441</v>
      </c>
      <c r="S136" s="81" t="s">
        <v>954</v>
      </c>
      <c r="T136" s="86" t="str">
        <f>HYPERLINK("http://www.youtube.com/channel/UCaz5lJl4O-DlZ0Ype11GGDQ")</f>
        <v>http://www.youtube.com/channel/UCaz5lJl4O-DlZ0Ype11GGDQ</v>
      </c>
      <c r="U136" s="81" t="s">
        <v>1061</v>
      </c>
      <c r="V136" s="81" t="s">
        <v>1120</v>
      </c>
      <c r="W136" s="86" t="str">
        <f>HYPERLINK("https://www.youtube.com/watch?v=-dB0rwt6_U8")</f>
        <v>https://www.youtube.com/watch?v=-dB0rwt6_U8</v>
      </c>
      <c r="X136" s="81" t="s">
        <v>1183</v>
      </c>
      <c r="Y136" s="81">
        <v>0</v>
      </c>
      <c r="Z136" s="88">
        <v>44200.974803240744</v>
      </c>
      <c r="AA136" s="88">
        <v>44200.974803240744</v>
      </c>
      <c r="AB136" s="81"/>
      <c r="AC136" s="81"/>
      <c r="AD136" s="84" t="s">
        <v>1239</v>
      </c>
      <c r="AE136" s="82">
        <v>1</v>
      </c>
      <c r="AF136" s="83" t="str">
        <f>REPLACE(INDEX(GroupVertices[Group],MATCH(Edges[[#This Row],[Vertex 1]],GroupVertices[Vertex],0)),1,1,"")</f>
        <v>5</v>
      </c>
      <c r="AG136" s="83" t="str">
        <f>REPLACE(INDEX(GroupVertices[Group],MATCH(Edges[[#This Row],[Vertex 2]],GroupVertices[Vertex],0)),1,1,"")</f>
        <v>5</v>
      </c>
      <c r="AH136" s="111">
        <v>0</v>
      </c>
      <c r="AI136" s="112">
        <v>0</v>
      </c>
      <c r="AJ136" s="111">
        <v>0</v>
      </c>
      <c r="AK136" s="112">
        <v>0</v>
      </c>
      <c r="AL136" s="111">
        <v>0</v>
      </c>
      <c r="AM136" s="112">
        <v>0</v>
      </c>
      <c r="AN136" s="111">
        <v>21</v>
      </c>
      <c r="AO136" s="112">
        <v>100</v>
      </c>
      <c r="AP136" s="111">
        <v>21</v>
      </c>
    </row>
    <row r="137" spans="1:42" ht="15">
      <c r="A137" s="65" t="s">
        <v>442</v>
      </c>
      <c r="B137" s="65" t="s">
        <v>441</v>
      </c>
      <c r="C137" s="66" t="s">
        <v>2942</v>
      </c>
      <c r="D137" s="67">
        <v>3</v>
      </c>
      <c r="E137" s="68"/>
      <c r="F137" s="69">
        <v>40</v>
      </c>
      <c r="G137" s="66"/>
      <c r="H137" s="70"/>
      <c r="I137" s="71"/>
      <c r="J137" s="71"/>
      <c r="K137" s="35" t="s">
        <v>66</v>
      </c>
      <c r="L137" s="79">
        <v>137</v>
      </c>
      <c r="M137" s="79"/>
      <c r="N137" s="73"/>
      <c r="O137" s="81" t="s">
        <v>563</v>
      </c>
      <c r="P137" s="81" t="s">
        <v>325</v>
      </c>
      <c r="Q137" s="84" t="s">
        <v>698</v>
      </c>
      <c r="R137" s="81" t="s">
        <v>442</v>
      </c>
      <c r="S137" s="81" t="s">
        <v>955</v>
      </c>
      <c r="T137" s="86" t="str">
        <f>HYPERLINK("http://www.youtube.com/channel/UCiFbxhlcapLxvMvBOJfgiAQ")</f>
        <v>http://www.youtube.com/channel/UCiFbxhlcapLxvMvBOJfgiAQ</v>
      </c>
      <c r="U137" s="81"/>
      <c r="V137" s="81" t="s">
        <v>1120</v>
      </c>
      <c r="W137" s="86" t="str">
        <f>HYPERLINK("https://www.youtube.com/watch?v=-dB0rwt6_U8")</f>
        <v>https://www.youtube.com/watch?v=-dB0rwt6_U8</v>
      </c>
      <c r="X137" s="81" t="s">
        <v>1183</v>
      </c>
      <c r="Y137" s="81">
        <v>1</v>
      </c>
      <c r="Z137" s="88">
        <v>44186.82519675926</v>
      </c>
      <c r="AA137" s="88">
        <v>44186.82519675926</v>
      </c>
      <c r="AB137" s="81"/>
      <c r="AC137" s="81"/>
      <c r="AD137" s="84" t="s">
        <v>1239</v>
      </c>
      <c r="AE137" s="82">
        <v>1</v>
      </c>
      <c r="AF137" s="83" t="str">
        <f>REPLACE(INDEX(GroupVertices[Group],MATCH(Edges[[#This Row],[Vertex 1]],GroupVertices[Vertex],0)),1,1,"")</f>
        <v>5</v>
      </c>
      <c r="AG137" s="83" t="str">
        <f>REPLACE(INDEX(GroupVertices[Group],MATCH(Edges[[#This Row],[Vertex 2]],GroupVertices[Vertex],0)),1,1,"")</f>
        <v>5</v>
      </c>
      <c r="AH137" s="111">
        <v>0</v>
      </c>
      <c r="AI137" s="112">
        <v>0</v>
      </c>
      <c r="AJ137" s="111">
        <v>0</v>
      </c>
      <c r="AK137" s="112">
        <v>0</v>
      </c>
      <c r="AL137" s="111">
        <v>0</v>
      </c>
      <c r="AM137" s="112">
        <v>0</v>
      </c>
      <c r="AN137" s="111">
        <v>8</v>
      </c>
      <c r="AO137" s="112">
        <v>100</v>
      </c>
      <c r="AP137" s="111">
        <v>8</v>
      </c>
    </row>
    <row r="138" spans="1:42" ht="15">
      <c r="A138" s="65" t="s">
        <v>443</v>
      </c>
      <c r="B138" s="65" t="s">
        <v>441</v>
      </c>
      <c r="C138" s="66" t="s">
        <v>2942</v>
      </c>
      <c r="D138" s="67">
        <v>3</v>
      </c>
      <c r="E138" s="68"/>
      <c r="F138" s="69">
        <v>40</v>
      </c>
      <c r="G138" s="66"/>
      <c r="H138" s="70"/>
      <c r="I138" s="71"/>
      <c r="J138" s="71"/>
      <c r="K138" s="35" t="s">
        <v>65</v>
      </c>
      <c r="L138" s="79">
        <v>138</v>
      </c>
      <c r="M138" s="79"/>
      <c r="N138" s="73"/>
      <c r="O138" s="81" t="s">
        <v>563</v>
      </c>
      <c r="P138" s="81" t="s">
        <v>325</v>
      </c>
      <c r="Q138" s="84" t="s">
        <v>699</v>
      </c>
      <c r="R138" s="81" t="s">
        <v>443</v>
      </c>
      <c r="S138" s="81" t="s">
        <v>956</v>
      </c>
      <c r="T138" s="86" t="str">
        <f>HYPERLINK("http://www.youtube.com/channel/UC500ecg6iu4_fZI7ppnH5xg")</f>
        <v>http://www.youtube.com/channel/UC500ecg6iu4_fZI7ppnH5xg</v>
      </c>
      <c r="U138" s="81"/>
      <c r="V138" s="81" t="s">
        <v>1120</v>
      </c>
      <c r="W138" s="86" t="str">
        <f>HYPERLINK("https://www.youtube.com/watch?v=-dB0rwt6_U8")</f>
        <v>https://www.youtube.com/watch?v=-dB0rwt6_U8</v>
      </c>
      <c r="X138" s="81" t="s">
        <v>1183</v>
      </c>
      <c r="Y138" s="81">
        <v>0</v>
      </c>
      <c r="Z138" s="88">
        <v>44251.948275462964</v>
      </c>
      <c r="AA138" s="88">
        <v>44251.948275462964</v>
      </c>
      <c r="AB138" s="81"/>
      <c r="AC138" s="81"/>
      <c r="AD138" s="84" t="s">
        <v>1239</v>
      </c>
      <c r="AE138" s="82">
        <v>1</v>
      </c>
      <c r="AF138" s="83" t="str">
        <f>REPLACE(INDEX(GroupVertices[Group],MATCH(Edges[[#This Row],[Vertex 1]],GroupVertices[Vertex],0)),1,1,"")</f>
        <v>5</v>
      </c>
      <c r="AG138" s="83" t="str">
        <f>REPLACE(INDEX(GroupVertices[Group],MATCH(Edges[[#This Row],[Vertex 2]],GroupVertices[Vertex],0)),1,1,"")</f>
        <v>5</v>
      </c>
      <c r="AH138" s="111">
        <v>0</v>
      </c>
      <c r="AI138" s="112">
        <v>0</v>
      </c>
      <c r="AJ138" s="111">
        <v>0</v>
      </c>
      <c r="AK138" s="112">
        <v>0</v>
      </c>
      <c r="AL138" s="111">
        <v>0</v>
      </c>
      <c r="AM138" s="112">
        <v>0</v>
      </c>
      <c r="AN138" s="111">
        <v>6</v>
      </c>
      <c r="AO138" s="112">
        <v>100</v>
      </c>
      <c r="AP138" s="111">
        <v>6</v>
      </c>
    </row>
    <row r="139" spans="1:42" ht="15">
      <c r="A139" s="65" t="s">
        <v>444</v>
      </c>
      <c r="B139" s="65" t="s">
        <v>551</v>
      </c>
      <c r="C139" s="66" t="s">
        <v>2942</v>
      </c>
      <c r="D139" s="67">
        <v>3</v>
      </c>
      <c r="E139" s="68"/>
      <c r="F139" s="69">
        <v>40</v>
      </c>
      <c r="G139" s="66"/>
      <c r="H139" s="70"/>
      <c r="I139" s="71"/>
      <c r="J139" s="71"/>
      <c r="K139" s="35" t="s">
        <v>65</v>
      </c>
      <c r="L139" s="79">
        <v>139</v>
      </c>
      <c r="M139" s="79"/>
      <c r="N139" s="73"/>
      <c r="O139" s="81" t="s">
        <v>563</v>
      </c>
      <c r="P139" s="81" t="s">
        <v>325</v>
      </c>
      <c r="Q139" s="84" t="s">
        <v>700</v>
      </c>
      <c r="R139" s="81" t="s">
        <v>444</v>
      </c>
      <c r="S139" s="81" t="s">
        <v>957</v>
      </c>
      <c r="T139" s="86" t="str">
        <f>HYPERLINK("http://www.youtube.com/channel/UCyKVToG2bdyFm9Zr7487GbQ")</f>
        <v>http://www.youtube.com/channel/UCyKVToG2bdyFm9Zr7487GbQ</v>
      </c>
      <c r="U139" s="81"/>
      <c r="V139" s="81" t="s">
        <v>1110</v>
      </c>
      <c r="W139" s="86" t="str">
        <f>HYPERLINK("https://www.youtube.com/watch?v=GYSgH1g_YQI")</f>
        <v>https://www.youtube.com/watch?v=GYSgH1g_YQI</v>
      </c>
      <c r="X139" s="81" t="s">
        <v>1183</v>
      </c>
      <c r="Y139" s="81">
        <v>0</v>
      </c>
      <c r="Z139" s="88">
        <v>44575.92402777778</v>
      </c>
      <c r="AA139" s="88">
        <v>44575.92402777778</v>
      </c>
      <c r="AB139" s="81"/>
      <c r="AC139" s="81"/>
      <c r="AD139" s="84" t="s">
        <v>1239</v>
      </c>
      <c r="AE139" s="82">
        <v>1</v>
      </c>
      <c r="AF139" s="83" t="str">
        <f>REPLACE(INDEX(GroupVertices[Group],MATCH(Edges[[#This Row],[Vertex 1]],GroupVertices[Vertex],0)),1,1,"")</f>
        <v>5</v>
      </c>
      <c r="AG139" s="83" t="str">
        <f>REPLACE(INDEX(GroupVertices[Group],MATCH(Edges[[#This Row],[Vertex 2]],GroupVertices[Vertex],0)),1,1,"")</f>
        <v>5</v>
      </c>
      <c r="AH139" s="111">
        <v>0</v>
      </c>
      <c r="AI139" s="112">
        <v>0</v>
      </c>
      <c r="AJ139" s="111">
        <v>0</v>
      </c>
      <c r="AK139" s="112">
        <v>0</v>
      </c>
      <c r="AL139" s="111">
        <v>0</v>
      </c>
      <c r="AM139" s="112">
        <v>0</v>
      </c>
      <c r="AN139" s="111">
        <v>11</v>
      </c>
      <c r="AO139" s="112">
        <v>100</v>
      </c>
      <c r="AP139" s="111">
        <v>11</v>
      </c>
    </row>
    <row r="140" spans="1:42" ht="15">
      <c r="A140" s="65" t="s">
        <v>444</v>
      </c>
      <c r="B140" s="65" t="s">
        <v>441</v>
      </c>
      <c r="C140" s="66" t="s">
        <v>2942</v>
      </c>
      <c r="D140" s="67">
        <v>3</v>
      </c>
      <c r="E140" s="68"/>
      <c r="F140" s="69">
        <v>40</v>
      </c>
      <c r="G140" s="66"/>
      <c r="H140" s="70"/>
      <c r="I140" s="71"/>
      <c r="J140" s="71"/>
      <c r="K140" s="35" t="s">
        <v>65</v>
      </c>
      <c r="L140" s="79">
        <v>140</v>
      </c>
      <c r="M140" s="79"/>
      <c r="N140" s="73"/>
      <c r="O140" s="81" t="s">
        <v>563</v>
      </c>
      <c r="P140" s="81" t="s">
        <v>325</v>
      </c>
      <c r="Q140" s="84" t="s">
        <v>701</v>
      </c>
      <c r="R140" s="81" t="s">
        <v>444</v>
      </c>
      <c r="S140" s="81" t="s">
        <v>957</v>
      </c>
      <c r="T140" s="86" t="str">
        <f>HYPERLINK("http://www.youtube.com/channel/UCyKVToG2bdyFm9Zr7487GbQ")</f>
        <v>http://www.youtube.com/channel/UCyKVToG2bdyFm9Zr7487GbQ</v>
      </c>
      <c r="U140" s="81"/>
      <c r="V140" s="81" t="s">
        <v>1120</v>
      </c>
      <c r="W140" s="86" t="str">
        <f>HYPERLINK("https://www.youtube.com/watch?v=-dB0rwt6_U8")</f>
        <v>https://www.youtube.com/watch?v=-dB0rwt6_U8</v>
      </c>
      <c r="X140" s="81" t="s">
        <v>1183</v>
      </c>
      <c r="Y140" s="81">
        <v>0</v>
      </c>
      <c r="Z140" s="88">
        <v>44575.85430555556</v>
      </c>
      <c r="AA140" s="88">
        <v>44575.85430555556</v>
      </c>
      <c r="AB140" s="81"/>
      <c r="AC140" s="81"/>
      <c r="AD140" s="84" t="s">
        <v>1239</v>
      </c>
      <c r="AE140" s="82">
        <v>1</v>
      </c>
      <c r="AF140" s="83" t="str">
        <f>REPLACE(INDEX(GroupVertices[Group],MATCH(Edges[[#This Row],[Vertex 1]],GroupVertices[Vertex],0)),1,1,"")</f>
        <v>5</v>
      </c>
      <c r="AG140" s="83" t="str">
        <f>REPLACE(INDEX(GroupVertices[Group],MATCH(Edges[[#This Row],[Vertex 2]],GroupVertices[Vertex],0)),1,1,"")</f>
        <v>5</v>
      </c>
      <c r="AH140" s="111">
        <v>0</v>
      </c>
      <c r="AI140" s="112">
        <v>0</v>
      </c>
      <c r="AJ140" s="111">
        <v>0</v>
      </c>
      <c r="AK140" s="112">
        <v>0</v>
      </c>
      <c r="AL140" s="111">
        <v>0</v>
      </c>
      <c r="AM140" s="112">
        <v>0</v>
      </c>
      <c r="AN140" s="111">
        <v>6</v>
      </c>
      <c r="AO140" s="112">
        <v>100</v>
      </c>
      <c r="AP140" s="111">
        <v>6</v>
      </c>
    </row>
    <row r="141" spans="1:42" ht="15">
      <c r="A141" s="65" t="s">
        <v>445</v>
      </c>
      <c r="B141" s="65" t="s">
        <v>446</v>
      </c>
      <c r="C141" s="66" t="s">
        <v>2942</v>
      </c>
      <c r="D141" s="67">
        <v>3</v>
      </c>
      <c r="E141" s="68"/>
      <c r="F141" s="69">
        <v>40</v>
      </c>
      <c r="G141" s="66"/>
      <c r="H141" s="70"/>
      <c r="I141" s="71"/>
      <c r="J141" s="71"/>
      <c r="K141" s="35" t="s">
        <v>65</v>
      </c>
      <c r="L141" s="79">
        <v>141</v>
      </c>
      <c r="M141" s="79"/>
      <c r="N141" s="73"/>
      <c r="O141" s="81" t="s">
        <v>564</v>
      </c>
      <c r="P141" s="81" t="s">
        <v>566</v>
      </c>
      <c r="Q141" s="84" t="s">
        <v>702</v>
      </c>
      <c r="R141" s="81" t="s">
        <v>445</v>
      </c>
      <c r="S141" s="81" t="s">
        <v>958</v>
      </c>
      <c r="T141" s="86" t="str">
        <f>HYPERLINK("http://www.youtube.com/channel/UCTpiluusEpdQER2ESjtp0dQ")</f>
        <v>http://www.youtube.com/channel/UCTpiluusEpdQER2ESjtp0dQ</v>
      </c>
      <c r="U141" s="81" t="s">
        <v>1062</v>
      </c>
      <c r="V141" s="81" t="s">
        <v>1121</v>
      </c>
      <c r="W141" s="86" t="str">
        <f>HYPERLINK("https://www.youtube.com/watch?v=xKhYGRpbwOc")</f>
        <v>https://www.youtube.com/watch?v=xKhYGRpbwOc</v>
      </c>
      <c r="X141" s="81" t="s">
        <v>1183</v>
      </c>
      <c r="Y141" s="81">
        <v>0</v>
      </c>
      <c r="Z141" s="88">
        <v>43535.95891203704</v>
      </c>
      <c r="AA141" s="88">
        <v>43535.95891203704</v>
      </c>
      <c r="AB141" s="81"/>
      <c r="AC141" s="81"/>
      <c r="AD141" s="84" t="s">
        <v>1239</v>
      </c>
      <c r="AE141" s="82">
        <v>1</v>
      </c>
      <c r="AF141" s="83" t="str">
        <f>REPLACE(INDEX(GroupVertices[Group],MATCH(Edges[[#This Row],[Vertex 1]],GroupVertices[Vertex],0)),1,1,"")</f>
        <v>6</v>
      </c>
      <c r="AG141" s="83" t="str">
        <f>REPLACE(INDEX(GroupVertices[Group],MATCH(Edges[[#This Row],[Vertex 2]],GroupVertices[Vertex],0)),1,1,"")</f>
        <v>6</v>
      </c>
      <c r="AH141" s="111">
        <v>1</v>
      </c>
      <c r="AI141" s="112">
        <v>12.5</v>
      </c>
      <c r="AJ141" s="111">
        <v>2</v>
      </c>
      <c r="AK141" s="112">
        <v>25</v>
      </c>
      <c r="AL141" s="111">
        <v>0</v>
      </c>
      <c r="AM141" s="112">
        <v>0</v>
      </c>
      <c r="AN141" s="111">
        <v>5</v>
      </c>
      <c r="AO141" s="112">
        <v>62.5</v>
      </c>
      <c r="AP141" s="111">
        <v>8</v>
      </c>
    </row>
    <row r="142" spans="1:42" ht="15">
      <c r="A142" s="65" t="s">
        <v>446</v>
      </c>
      <c r="B142" s="65" t="s">
        <v>450</v>
      </c>
      <c r="C142" s="66" t="s">
        <v>2942</v>
      </c>
      <c r="D142" s="67">
        <v>3</v>
      </c>
      <c r="E142" s="68"/>
      <c r="F142" s="69">
        <v>40</v>
      </c>
      <c r="G142" s="66"/>
      <c r="H142" s="70"/>
      <c r="I142" s="71"/>
      <c r="J142" s="71"/>
      <c r="K142" s="35" t="s">
        <v>65</v>
      </c>
      <c r="L142" s="79">
        <v>142</v>
      </c>
      <c r="M142" s="79"/>
      <c r="N142" s="73"/>
      <c r="O142" s="81" t="s">
        <v>563</v>
      </c>
      <c r="P142" s="81" t="s">
        <v>325</v>
      </c>
      <c r="Q142" s="84" t="s">
        <v>703</v>
      </c>
      <c r="R142" s="81" t="s">
        <v>446</v>
      </c>
      <c r="S142" s="81" t="s">
        <v>959</v>
      </c>
      <c r="T142" s="86" t="str">
        <f>HYPERLINK("http://www.youtube.com/channel/UCntzGT7YKCWZXmfs7yCRbnw")</f>
        <v>http://www.youtube.com/channel/UCntzGT7YKCWZXmfs7yCRbnw</v>
      </c>
      <c r="U142" s="81"/>
      <c r="V142" s="81" t="s">
        <v>1121</v>
      </c>
      <c r="W142" s="86" t="str">
        <f>HYPERLINK("https://www.youtube.com/watch?v=xKhYGRpbwOc")</f>
        <v>https://www.youtube.com/watch?v=xKhYGRpbwOc</v>
      </c>
      <c r="X142" s="81" t="s">
        <v>1183</v>
      </c>
      <c r="Y142" s="81">
        <v>2</v>
      </c>
      <c r="Z142" s="88">
        <v>41350.179131944446</v>
      </c>
      <c r="AA142" s="88">
        <v>41350.179131944446</v>
      </c>
      <c r="AB142" s="81"/>
      <c r="AC142" s="81"/>
      <c r="AD142" s="84" t="s">
        <v>1239</v>
      </c>
      <c r="AE142" s="82">
        <v>1</v>
      </c>
      <c r="AF142" s="83" t="str">
        <f>REPLACE(INDEX(GroupVertices[Group],MATCH(Edges[[#This Row],[Vertex 1]],GroupVertices[Vertex],0)),1,1,"")</f>
        <v>6</v>
      </c>
      <c r="AG142" s="83" t="str">
        <f>REPLACE(INDEX(GroupVertices[Group],MATCH(Edges[[#This Row],[Vertex 2]],GroupVertices[Vertex],0)),1,1,"")</f>
        <v>6</v>
      </c>
      <c r="AH142" s="111">
        <v>0</v>
      </c>
      <c r="AI142" s="112">
        <v>0</v>
      </c>
      <c r="AJ142" s="111">
        <v>0</v>
      </c>
      <c r="AK142" s="112">
        <v>0</v>
      </c>
      <c r="AL142" s="111">
        <v>0</v>
      </c>
      <c r="AM142" s="112">
        <v>0</v>
      </c>
      <c r="AN142" s="111">
        <v>8</v>
      </c>
      <c r="AO142" s="112">
        <v>100</v>
      </c>
      <c r="AP142" s="111">
        <v>8</v>
      </c>
    </row>
    <row r="143" spans="1:42" ht="15">
      <c r="A143" s="65" t="s">
        <v>447</v>
      </c>
      <c r="B143" s="65" t="s">
        <v>450</v>
      </c>
      <c r="C143" s="66" t="s">
        <v>2942</v>
      </c>
      <c r="D143" s="67">
        <v>3</v>
      </c>
      <c r="E143" s="68"/>
      <c r="F143" s="69">
        <v>40</v>
      </c>
      <c r="G143" s="66"/>
      <c r="H143" s="70"/>
      <c r="I143" s="71"/>
      <c r="J143" s="71"/>
      <c r="K143" s="35" t="s">
        <v>65</v>
      </c>
      <c r="L143" s="79">
        <v>143</v>
      </c>
      <c r="M143" s="79"/>
      <c r="N143" s="73"/>
      <c r="O143" s="81" t="s">
        <v>563</v>
      </c>
      <c r="P143" s="81" t="s">
        <v>325</v>
      </c>
      <c r="Q143" s="84" t="s">
        <v>704</v>
      </c>
      <c r="R143" s="81" t="s">
        <v>447</v>
      </c>
      <c r="S143" s="81" t="s">
        <v>960</v>
      </c>
      <c r="T143" s="86" t="str">
        <f>HYPERLINK("http://www.youtube.com/channel/UCvGUF5crGKWgcjNfy69om-w")</f>
        <v>http://www.youtube.com/channel/UCvGUF5crGKWgcjNfy69om-w</v>
      </c>
      <c r="U143" s="81"/>
      <c r="V143" s="81" t="s">
        <v>1121</v>
      </c>
      <c r="W143" s="86" t="str">
        <f>HYPERLINK("https://www.youtube.com/watch?v=xKhYGRpbwOc")</f>
        <v>https://www.youtube.com/watch?v=xKhYGRpbwOc</v>
      </c>
      <c r="X143" s="81" t="s">
        <v>1183</v>
      </c>
      <c r="Y143" s="81">
        <v>1</v>
      </c>
      <c r="Z143" s="88">
        <v>41376.31752314815</v>
      </c>
      <c r="AA143" s="88">
        <v>41376.31752314815</v>
      </c>
      <c r="AB143" s="81"/>
      <c r="AC143" s="81"/>
      <c r="AD143" s="84" t="s">
        <v>1239</v>
      </c>
      <c r="AE143" s="82">
        <v>1</v>
      </c>
      <c r="AF143" s="83" t="str">
        <f>REPLACE(INDEX(GroupVertices[Group],MATCH(Edges[[#This Row],[Vertex 1]],GroupVertices[Vertex],0)),1,1,"")</f>
        <v>6</v>
      </c>
      <c r="AG143" s="83" t="str">
        <f>REPLACE(INDEX(GroupVertices[Group],MATCH(Edges[[#This Row],[Vertex 2]],GroupVertices[Vertex],0)),1,1,"")</f>
        <v>6</v>
      </c>
      <c r="AH143" s="111">
        <v>0</v>
      </c>
      <c r="AI143" s="112">
        <v>0</v>
      </c>
      <c r="AJ143" s="111">
        <v>0</v>
      </c>
      <c r="AK143" s="112">
        <v>0</v>
      </c>
      <c r="AL143" s="111">
        <v>0</v>
      </c>
      <c r="AM143" s="112">
        <v>0</v>
      </c>
      <c r="AN143" s="111">
        <v>7</v>
      </c>
      <c r="AO143" s="112">
        <v>100</v>
      </c>
      <c r="AP143" s="111">
        <v>7</v>
      </c>
    </row>
    <row r="144" spans="1:42" ht="15">
      <c r="A144" s="65" t="s">
        <v>448</v>
      </c>
      <c r="B144" s="65" t="s">
        <v>450</v>
      </c>
      <c r="C144" s="66" t="s">
        <v>2942</v>
      </c>
      <c r="D144" s="67">
        <v>3</v>
      </c>
      <c r="E144" s="68"/>
      <c r="F144" s="69">
        <v>40</v>
      </c>
      <c r="G144" s="66"/>
      <c r="H144" s="70"/>
      <c r="I144" s="71"/>
      <c r="J144" s="71"/>
      <c r="K144" s="35" t="s">
        <v>65</v>
      </c>
      <c r="L144" s="79">
        <v>144</v>
      </c>
      <c r="M144" s="79"/>
      <c r="N144" s="73"/>
      <c r="O144" s="81" t="s">
        <v>563</v>
      </c>
      <c r="P144" s="81" t="s">
        <v>325</v>
      </c>
      <c r="Q144" s="84" t="s">
        <v>705</v>
      </c>
      <c r="R144" s="81" t="s">
        <v>448</v>
      </c>
      <c r="S144" s="81" t="s">
        <v>961</v>
      </c>
      <c r="T144" s="86" t="str">
        <f>HYPERLINK("http://www.youtube.com/channel/UCkC3h3DJjv33UNvnAUmP8QA")</f>
        <v>http://www.youtube.com/channel/UCkC3h3DJjv33UNvnAUmP8QA</v>
      </c>
      <c r="U144" s="81"/>
      <c r="V144" s="81" t="s">
        <v>1121</v>
      </c>
      <c r="W144" s="86" t="str">
        <f>HYPERLINK("https://www.youtube.com/watch?v=xKhYGRpbwOc")</f>
        <v>https://www.youtube.com/watch?v=xKhYGRpbwOc</v>
      </c>
      <c r="X144" s="81" t="s">
        <v>1183</v>
      </c>
      <c r="Y144" s="81">
        <v>0</v>
      </c>
      <c r="Z144" s="88">
        <v>41769.99725694444</v>
      </c>
      <c r="AA144" s="88">
        <v>41769.99725694444</v>
      </c>
      <c r="AB144" s="81"/>
      <c r="AC144" s="81"/>
      <c r="AD144" s="84" t="s">
        <v>1239</v>
      </c>
      <c r="AE144" s="82">
        <v>1</v>
      </c>
      <c r="AF144" s="83" t="str">
        <f>REPLACE(INDEX(GroupVertices[Group],MATCH(Edges[[#This Row],[Vertex 1]],GroupVertices[Vertex],0)),1,1,"")</f>
        <v>6</v>
      </c>
      <c r="AG144" s="83" t="str">
        <f>REPLACE(INDEX(GroupVertices[Group],MATCH(Edges[[#This Row],[Vertex 2]],GroupVertices[Vertex],0)),1,1,"")</f>
        <v>6</v>
      </c>
      <c r="AH144" s="111">
        <v>1</v>
      </c>
      <c r="AI144" s="112">
        <v>8.333333333333334</v>
      </c>
      <c r="AJ144" s="111">
        <v>0</v>
      </c>
      <c r="AK144" s="112">
        <v>0</v>
      </c>
      <c r="AL144" s="111">
        <v>0</v>
      </c>
      <c r="AM144" s="112">
        <v>0</v>
      </c>
      <c r="AN144" s="111">
        <v>11</v>
      </c>
      <c r="AO144" s="112">
        <v>91.66666666666667</v>
      </c>
      <c r="AP144" s="111">
        <v>12</v>
      </c>
    </row>
    <row r="145" spans="1:42" ht="15">
      <c r="A145" s="65" t="s">
        <v>449</v>
      </c>
      <c r="B145" s="65" t="s">
        <v>450</v>
      </c>
      <c r="C145" s="66" t="s">
        <v>2942</v>
      </c>
      <c r="D145" s="67">
        <v>3</v>
      </c>
      <c r="E145" s="68"/>
      <c r="F145" s="69">
        <v>40</v>
      </c>
      <c r="G145" s="66"/>
      <c r="H145" s="70"/>
      <c r="I145" s="71"/>
      <c r="J145" s="71"/>
      <c r="K145" s="35" t="s">
        <v>65</v>
      </c>
      <c r="L145" s="79">
        <v>145</v>
      </c>
      <c r="M145" s="79"/>
      <c r="N145" s="73"/>
      <c r="O145" s="81" t="s">
        <v>563</v>
      </c>
      <c r="P145" s="81" t="s">
        <v>325</v>
      </c>
      <c r="Q145" s="84" t="s">
        <v>706</v>
      </c>
      <c r="R145" s="81" t="s">
        <v>449</v>
      </c>
      <c r="S145" s="81" t="s">
        <v>962</v>
      </c>
      <c r="T145" s="86" t="str">
        <f>HYPERLINK("http://www.youtube.com/channel/UCs_w8C3KKuchf7tTDjLH6EQ")</f>
        <v>http://www.youtube.com/channel/UCs_w8C3KKuchf7tTDjLH6EQ</v>
      </c>
      <c r="U145" s="81"/>
      <c r="V145" s="81" t="s">
        <v>1121</v>
      </c>
      <c r="W145" s="86" t="str">
        <f>HYPERLINK("https://www.youtube.com/watch?v=xKhYGRpbwOc")</f>
        <v>https://www.youtube.com/watch?v=xKhYGRpbwOc</v>
      </c>
      <c r="X145" s="81" t="s">
        <v>1183</v>
      </c>
      <c r="Y145" s="81">
        <v>0</v>
      </c>
      <c r="Z145" s="88">
        <v>44207.104375</v>
      </c>
      <c r="AA145" s="88">
        <v>44207.104375</v>
      </c>
      <c r="AB145" s="81"/>
      <c r="AC145" s="81"/>
      <c r="AD145" s="84" t="s">
        <v>1239</v>
      </c>
      <c r="AE145" s="82">
        <v>1</v>
      </c>
      <c r="AF145" s="83" t="str">
        <f>REPLACE(INDEX(GroupVertices[Group],MATCH(Edges[[#This Row],[Vertex 1]],GroupVertices[Vertex],0)),1,1,"")</f>
        <v>6</v>
      </c>
      <c r="AG145" s="83" t="str">
        <f>REPLACE(INDEX(GroupVertices[Group],MATCH(Edges[[#This Row],[Vertex 2]],GroupVertices[Vertex],0)),1,1,"")</f>
        <v>6</v>
      </c>
      <c r="AH145" s="111">
        <v>0</v>
      </c>
      <c r="AI145" s="112">
        <v>0</v>
      </c>
      <c r="AJ145" s="111">
        <v>0</v>
      </c>
      <c r="AK145" s="112">
        <v>0</v>
      </c>
      <c r="AL145" s="111">
        <v>0</v>
      </c>
      <c r="AM145" s="112">
        <v>0</v>
      </c>
      <c r="AN145" s="111">
        <v>4</v>
      </c>
      <c r="AO145" s="112">
        <v>100</v>
      </c>
      <c r="AP145" s="111">
        <v>4</v>
      </c>
    </row>
    <row r="146" spans="1:42" ht="15">
      <c r="A146" s="65" t="s">
        <v>450</v>
      </c>
      <c r="B146" s="65" t="s">
        <v>451</v>
      </c>
      <c r="C146" s="66" t="s">
        <v>2942</v>
      </c>
      <c r="D146" s="67">
        <v>3</v>
      </c>
      <c r="E146" s="68"/>
      <c r="F146" s="69">
        <v>40</v>
      </c>
      <c r="G146" s="66"/>
      <c r="H146" s="70"/>
      <c r="I146" s="71"/>
      <c r="J146" s="71"/>
      <c r="K146" s="35" t="s">
        <v>66</v>
      </c>
      <c r="L146" s="79">
        <v>146</v>
      </c>
      <c r="M146" s="79"/>
      <c r="N146" s="73"/>
      <c r="O146" s="81" t="s">
        <v>564</v>
      </c>
      <c r="P146" s="81" t="s">
        <v>566</v>
      </c>
      <c r="Q146" s="84" t="s">
        <v>707</v>
      </c>
      <c r="R146" s="81" t="s">
        <v>450</v>
      </c>
      <c r="S146" s="81" t="s">
        <v>963</v>
      </c>
      <c r="T146" s="86" t="str">
        <f>HYPERLINK("http://www.youtube.com/channel/UCOQy7XDYjkjhb0QwVMwf-7A")</f>
        <v>http://www.youtube.com/channel/UCOQy7XDYjkjhb0QwVMwf-7A</v>
      </c>
      <c r="U146" s="81" t="s">
        <v>1063</v>
      </c>
      <c r="V146" s="81" t="s">
        <v>1121</v>
      </c>
      <c r="W146" s="86" t="str">
        <f>HYPERLINK("https://www.youtube.com/watch?v=xKhYGRpbwOc")</f>
        <v>https://www.youtube.com/watch?v=xKhYGRpbwOc</v>
      </c>
      <c r="X146" s="81" t="s">
        <v>1183</v>
      </c>
      <c r="Y146" s="81">
        <v>0</v>
      </c>
      <c r="Z146" s="88">
        <v>44474.15046296296</v>
      </c>
      <c r="AA146" s="88">
        <v>44474.15046296296</v>
      </c>
      <c r="AB146" s="81"/>
      <c r="AC146" s="81"/>
      <c r="AD146" s="84" t="s">
        <v>1239</v>
      </c>
      <c r="AE146" s="82">
        <v>1</v>
      </c>
      <c r="AF146" s="83" t="str">
        <f>REPLACE(INDEX(GroupVertices[Group],MATCH(Edges[[#This Row],[Vertex 1]],GroupVertices[Vertex],0)),1,1,"")</f>
        <v>6</v>
      </c>
      <c r="AG146" s="83" t="str">
        <f>REPLACE(INDEX(GroupVertices[Group],MATCH(Edges[[#This Row],[Vertex 2]],GroupVertices[Vertex],0)),1,1,"")</f>
        <v>6</v>
      </c>
      <c r="AH146" s="111">
        <v>0</v>
      </c>
      <c r="AI146" s="112">
        <v>0</v>
      </c>
      <c r="AJ146" s="111">
        <v>0</v>
      </c>
      <c r="AK146" s="112">
        <v>0</v>
      </c>
      <c r="AL146" s="111">
        <v>0</v>
      </c>
      <c r="AM146" s="112">
        <v>0</v>
      </c>
      <c r="AN146" s="111">
        <v>16</v>
      </c>
      <c r="AO146" s="112">
        <v>100</v>
      </c>
      <c r="AP146" s="111">
        <v>16</v>
      </c>
    </row>
    <row r="147" spans="1:42" ht="15">
      <c r="A147" s="65" t="s">
        <v>451</v>
      </c>
      <c r="B147" s="65" t="s">
        <v>450</v>
      </c>
      <c r="C147" s="66" t="s">
        <v>2942</v>
      </c>
      <c r="D147" s="67">
        <v>3</v>
      </c>
      <c r="E147" s="68"/>
      <c r="F147" s="69">
        <v>40</v>
      </c>
      <c r="G147" s="66"/>
      <c r="H147" s="70"/>
      <c r="I147" s="71"/>
      <c r="J147" s="71"/>
      <c r="K147" s="35" t="s">
        <v>66</v>
      </c>
      <c r="L147" s="79">
        <v>147</v>
      </c>
      <c r="M147" s="79"/>
      <c r="N147" s="73"/>
      <c r="O147" s="81" t="s">
        <v>563</v>
      </c>
      <c r="P147" s="81" t="s">
        <v>325</v>
      </c>
      <c r="Q147" s="84" t="s">
        <v>708</v>
      </c>
      <c r="R147" s="81" t="s">
        <v>451</v>
      </c>
      <c r="S147" s="81" t="s">
        <v>964</v>
      </c>
      <c r="T147" s="86" t="str">
        <f>HYPERLINK("http://www.youtube.com/channel/UC33YvdKdCbETlDVRz_I42sw")</f>
        <v>http://www.youtube.com/channel/UC33YvdKdCbETlDVRz_I42sw</v>
      </c>
      <c r="U147" s="81"/>
      <c r="V147" s="81" t="s">
        <v>1121</v>
      </c>
      <c r="W147" s="86" t="str">
        <f>HYPERLINK("https://www.youtube.com/watch?v=xKhYGRpbwOc")</f>
        <v>https://www.youtube.com/watch?v=xKhYGRpbwOc</v>
      </c>
      <c r="X147" s="81" t="s">
        <v>1183</v>
      </c>
      <c r="Y147" s="81">
        <v>0</v>
      </c>
      <c r="Z147" s="88">
        <v>44474.14766203704</v>
      </c>
      <c r="AA147" s="88">
        <v>44474.14766203704</v>
      </c>
      <c r="AB147" s="81"/>
      <c r="AC147" s="81"/>
      <c r="AD147" s="84" t="s">
        <v>1239</v>
      </c>
      <c r="AE147" s="82">
        <v>1</v>
      </c>
      <c r="AF147" s="83" t="str">
        <f>REPLACE(INDEX(GroupVertices[Group],MATCH(Edges[[#This Row],[Vertex 1]],GroupVertices[Vertex],0)),1,1,"")</f>
        <v>6</v>
      </c>
      <c r="AG147" s="83" t="str">
        <f>REPLACE(INDEX(GroupVertices[Group],MATCH(Edges[[#This Row],[Vertex 2]],GroupVertices[Vertex],0)),1,1,"")</f>
        <v>6</v>
      </c>
      <c r="AH147" s="111">
        <v>0</v>
      </c>
      <c r="AI147" s="112">
        <v>0</v>
      </c>
      <c r="AJ147" s="111">
        <v>0</v>
      </c>
      <c r="AK147" s="112">
        <v>0</v>
      </c>
      <c r="AL147" s="111">
        <v>0</v>
      </c>
      <c r="AM147" s="112">
        <v>0</v>
      </c>
      <c r="AN147" s="111">
        <v>10</v>
      </c>
      <c r="AO147" s="112">
        <v>100</v>
      </c>
      <c r="AP147" s="111">
        <v>10</v>
      </c>
    </row>
    <row r="148" spans="1:42" ht="15">
      <c r="A148" s="65" t="s">
        <v>452</v>
      </c>
      <c r="B148" s="65" t="s">
        <v>560</v>
      </c>
      <c r="C148" s="66" t="s">
        <v>2942</v>
      </c>
      <c r="D148" s="67">
        <v>3</v>
      </c>
      <c r="E148" s="68"/>
      <c r="F148" s="69">
        <v>40</v>
      </c>
      <c r="G148" s="66"/>
      <c r="H148" s="70"/>
      <c r="I148" s="71"/>
      <c r="J148" s="71"/>
      <c r="K148" s="35" t="s">
        <v>65</v>
      </c>
      <c r="L148" s="79">
        <v>148</v>
      </c>
      <c r="M148" s="79"/>
      <c r="N148" s="73"/>
      <c r="O148" s="81" t="s">
        <v>563</v>
      </c>
      <c r="P148" s="81" t="s">
        <v>325</v>
      </c>
      <c r="Q148" s="84" t="s">
        <v>709</v>
      </c>
      <c r="R148" s="81" t="s">
        <v>452</v>
      </c>
      <c r="S148" s="81" t="s">
        <v>965</v>
      </c>
      <c r="T148" s="86" t="str">
        <f>HYPERLINK("http://www.youtube.com/channel/UCMS61u_TGqi-c_UEhywFcQg")</f>
        <v>http://www.youtube.com/channel/UCMS61u_TGqi-c_UEhywFcQg</v>
      </c>
      <c r="U148" s="81"/>
      <c r="V148" s="81" t="s">
        <v>1122</v>
      </c>
      <c r="W148" s="86" t="str">
        <f>HYPERLINK("https://www.youtube.com/watch?v=l0n5rKT0ztI")</f>
        <v>https://www.youtube.com/watch?v=l0n5rKT0ztI</v>
      </c>
      <c r="X148" s="81" t="s">
        <v>1183</v>
      </c>
      <c r="Y148" s="81">
        <v>1</v>
      </c>
      <c r="Z148" s="88">
        <v>44138.93002314815</v>
      </c>
      <c r="AA148" s="88">
        <v>44138.93002314815</v>
      </c>
      <c r="AB148" s="81"/>
      <c r="AC148" s="81"/>
      <c r="AD148" s="84" t="s">
        <v>1239</v>
      </c>
      <c r="AE148" s="82">
        <v>1</v>
      </c>
      <c r="AF148" s="83" t="str">
        <f>REPLACE(INDEX(GroupVertices[Group],MATCH(Edges[[#This Row],[Vertex 1]],GroupVertices[Vertex],0)),1,1,"")</f>
        <v>4</v>
      </c>
      <c r="AG148" s="83" t="str">
        <f>REPLACE(INDEX(GroupVertices[Group],MATCH(Edges[[#This Row],[Vertex 2]],GroupVertices[Vertex],0)),1,1,"")</f>
        <v>4</v>
      </c>
      <c r="AH148" s="111">
        <v>0</v>
      </c>
      <c r="AI148" s="112">
        <v>0</v>
      </c>
      <c r="AJ148" s="111">
        <v>0</v>
      </c>
      <c r="AK148" s="112">
        <v>0</v>
      </c>
      <c r="AL148" s="111">
        <v>0</v>
      </c>
      <c r="AM148" s="112">
        <v>0</v>
      </c>
      <c r="AN148" s="111">
        <v>1</v>
      </c>
      <c r="AO148" s="112">
        <v>100</v>
      </c>
      <c r="AP148" s="111">
        <v>1</v>
      </c>
    </row>
    <row r="149" spans="1:42" ht="15">
      <c r="A149" s="65" t="s">
        <v>453</v>
      </c>
      <c r="B149" s="65" t="s">
        <v>560</v>
      </c>
      <c r="C149" s="66" t="s">
        <v>2942</v>
      </c>
      <c r="D149" s="67">
        <v>3</v>
      </c>
      <c r="E149" s="68"/>
      <c r="F149" s="69">
        <v>40</v>
      </c>
      <c r="G149" s="66"/>
      <c r="H149" s="70"/>
      <c r="I149" s="71"/>
      <c r="J149" s="71"/>
      <c r="K149" s="35" t="s">
        <v>65</v>
      </c>
      <c r="L149" s="79">
        <v>149</v>
      </c>
      <c r="M149" s="79"/>
      <c r="N149" s="73"/>
      <c r="O149" s="81" t="s">
        <v>563</v>
      </c>
      <c r="P149" s="81" t="s">
        <v>325</v>
      </c>
      <c r="Q149" s="84" t="s">
        <v>710</v>
      </c>
      <c r="R149" s="81" t="s">
        <v>453</v>
      </c>
      <c r="S149" s="81" t="s">
        <v>966</v>
      </c>
      <c r="T149" s="86" t="str">
        <f>HYPERLINK("http://www.youtube.com/channel/UCeIJT2rmwfiwi5iuVCrorfQ")</f>
        <v>http://www.youtube.com/channel/UCeIJT2rmwfiwi5iuVCrorfQ</v>
      </c>
      <c r="U149" s="81"/>
      <c r="V149" s="81" t="s">
        <v>1122</v>
      </c>
      <c r="W149" s="86" t="str">
        <f>HYPERLINK("https://www.youtube.com/watch?v=l0n5rKT0ztI")</f>
        <v>https://www.youtube.com/watch?v=l0n5rKT0ztI</v>
      </c>
      <c r="X149" s="81" t="s">
        <v>1183</v>
      </c>
      <c r="Y149" s="81">
        <v>0</v>
      </c>
      <c r="Z149" s="88">
        <v>44168.60988425926</v>
      </c>
      <c r="AA149" s="88">
        <v>44168.60988425926</v>
      </c>
      <c r="AB149" s="81"/>
      <c r="AC149" s="81"/>
      <c r="AD149" s="84" t="s">
        <v>1239</v>
      </c>
      <c r="AE149" s="82">
        <v>1</v>
      </c>
      <c r="AF149" s="83" t="str">
        <f>REPLACE(INDEX(GroupVertices[Group],MATCH(Edges[[#This Row],[Vertex 1]],GroupVertices[Vertex],0)),1,1,"")</f>
        <v>4</v>
      </c>
      <c r="AG149" s="83" t="str">
        <f>REPLACE(INDEX(GroupVertices[Group],MATCH(Edges[[#This Row],[Vertex 2]],GroupVertices[Vertex],0)),1,1,"")</f>
        <v>4</v>
      </c>
      <c r="AH149" s="111">
        <v>1</v>
      </c>
      <c r="AI149" s="112">
        <v>100</v>
      </c>
      <c r="AJ149" s="111">
        <v>0</v>
      </c>
      <c r="AK149" s="112">
        <v>0</v>
      </c>
      <c r="AL149" s="111">
        <v>0</v>
      </c>
      <c r="AM149" s="112">
        <v>0</v>
      </c>
      <c r="AN149" s="111">
        <v>0</v>
      </c>
      <c r="AO149" s="112">
        <v>0</v>
      </c>
      <c r="AP149" s="111">
        <v>1</v>
      </c>
    </row>
    <row r="150" spans="1:42" ht="15">
      <c r="A150" s="65" t="s">
        <v>454</v>
      </c>
      <c r="B150" s="65" t="s">
        <v>560</v>
      </c>
      <c r="C150" s="66" t="s">
        <v>2942</v>
      </c>
      <c r="D150" s="67">
        <v>3</v>
      </c>
      <c r="E150" s="68"/>
      <c r="F150" s="69">
        <v>40</v>
      </c>
      <c r="G150" s="66"/>
      <c r="H150" s="70"/>
      <c r="I150" s="71"/>
      <c r="J150" s="71"/>
      <c r="K150" s="35" t="s">
        <v>65</v>
      </c>
      <c r="L150" s="79">
        <v>150</v>
      </c>
      <c r="M150" s="79"/>
      <c r="N150" s="73"/>
      <c r="O150" s="81" t="s">
        <v>563</v>
      </c>
      <c r="P150" s="81" t="s">
        <v>325</v>
      </c>
      <c r="Q150" s="84" t="s">
        <v>711</v>
      </c>
      <c r="R150" s="81" t="s">
        <v>454</v>
      </c>
      <c r="S150" s="81" t="s">
        <v>967</v>
      </c>
      <c r="T150" s="86" t="str">
        <f>HYPERLINK("http://www.youtube.com/channel/UCA3wy2ieu53FkBf19GeaSzw")</f>
        <v>http://www.youtube.com/channel/UCA3wy2ieu53FkBf19GeaSzw</v>
      </c>
      <c r="U150" s="81"/>
      <c r="V150" s="81" t="s">
        <v>1122</v>
      </c>
      <c r="W150" s="86" t="str">
        <f>HYPERLINK("https://www.youtube.com/watch?v=l0n5rKT0ztI")</f>
        <v>https://www.youtube.com/watch?v=l0n5rKT0ztI</v>
      </c>
      <c r="X150" s="81" t="s">
        <v>1183</v>
      </c>
      <c r="Y150" s="81">
        <v>0</v>
      </c>
      <c r="Z150" s="88">
        <v>44642.02018518518</v>
      </c>
      <c r="AA150" s="88">
        <v>44642.02096064815</v>
      </c>
      <c r="AB150" s="81"/>
      <c r="AC150" s="81"/>
      <c r="AD150" s="84" t="s">
        <v>1239</v>
      </c>
      <c r="AE150" s="82">
        <v>1</v>
      </c>
      <c r="AF150" s="83" t="str">
        <f>REPLACE(INDEX(GroupVertices[Group],MATCH(Edges[[#This Row],[Vertex 1]],GroupVertices[Vertex],0)),1,1,"")</f>
        <v>4</v>
      </c>
      <c r="AG150" s="83" t="str">
        <f>REPLACE(INDEX(GroupVertices[Group],MATCH(Edges[[#This Row],[Vertex 2]],GroupVertices[Vertex],0)),1,1,"")</f>
        <v>4</v>
      </c>
      <c r="AH150" s="111">
        <v>0</v>
      </c>
      <c r="AI150" s="112">
        <v>0</v>
      </c>
      <c r="AJ150" s="111">
        <v>0</v>
      </c>
      <c r="AK150" s="112">
        <v>0</v>
      </c>
      <c r="AL150" s="111">
        <v>0</v>
      </c>
      <c r="AM150" s="112">
        <v>0</v>
      </c>
      <c r="AN150" s="111">
        <v>14</v>
      </c>
      <c r="AO150" s="112">
        <v>100</v>
      </c>
      <c r="AP150" s="111">
        <v>14</v>
      </c>
    </row>
    <row r="151" spans="1:42" ht="15">
      <c r="A151" s="65" t="s">
        <v>455</v>
      </c>
      <c r="B151" s="65" t="s">
        <v>559</v>
      </c>
      <c r="C151" s="66" t="s">
        <v>2942</v>
      </c>
      <c r="D151" s="67">
        <v>3</v>
      </c>
      <c r="E151" s="68"/>
      <c r="F151" s="69">
        <v>40</v>
      </c>
      <c r="G151" s="66"/>
      <c r="H151" s="70"/>
      <c r="I151" s="71"/>
      <c r="J151" s="71"/>
      <c r="K151" s="35" t="s">
        <v>65</v>
      </c>
      <c r="L151" s="79">
        <v>151</v>
      </c>
      <c r="M151" s="79"/>
      <c r="N151" s="73"/>
      <c r="O151" s="81" t="s">
        <v>563</v>
      </c>
      <c r="P151" s="81" t="s">
        <v>325</v>
      </c>
      <c r="Q151" s="84" t="s">
        <v>712</v>
      </c>
      <c r="R151" s="81" t="s">
        <v>455</v>
      </c>
      <c r="S151" s="81" t="s">
        <v>968</v>
      </c>
      <c r="T151" s="86" t="str">
        <f>HYPERLINK("http://www.youtube.com/channel/UCqdyyZiSL4ZHyXE11pNa-PQ")</f>
        <v>http://www.youtube.com/channel/UCqdyyZiSL4ZHyXE11pNa-PQ</v>
      </c>
      <c r="U151" s="81"/>
      <c r="V151" s="81" t="s">
        <v>1123</v>
      </c>
      <c r="W151" s="86" t="str">
        <f>HYPERLINK("https://www.youtube.com/watch?v=o53sJ939r7A")</f>
        <v>https://www.youtube.com/watch?v=o53sJ939r7A</v>
      </c>
      <c r="X151" s="81" t="s">
        <v>1183</v>
      </c>
      <c r="Y151" s="81">
        <v>0</v>
      </c>
      <c r="Z151" s="88">
        <v>44013.83644675926</v>
      </c>
      <c r="AA151" s="88">
        <v>44013.83644675926</v>
      </c>
      <c r="AB151" s="81"/>
      <c r="AC151" s="81"/>
      <c r="AD151" s="84" t="s">
        <v>1239</v>
      </c>
      <c r="AE151" s="82">
        <v>1</v>
      </c>
      <c r="AF151" s="83" t="str">
        <f>REPLACE(INDEX(GroupVertices[Group],MATCH(Edges[[#This Row],[Vertex 1]],GroupVertices[Vertex],0)),1,1,"")</f>
        <v>12</v>
      </c>
      <c r="AG151" s="83" t="str">
        <f>REPLACE(INDEX(GroupVertices[Group],MATCH(Edges[[#This Row],[Vertex 2]],GroupVertices[Vertex],0)),1,1,"")</f>
        <v>12</v>
      </c>
      <c r="AH151" s="111">
        <v>0</v>
      </c>
      <c r="AI151" s="112">
        <v>0</v>
      </c>
      <c r="AJ151" s="111">
        <v>0</v>
      </c>
      <c r="AK151" s="112">
        <v>0</v>
      </c>
      <c r="AL151" s="111">
        <v>0</v>
      </c>
      <c r="AM151" s="112">
        <v>0</v>
      </c>
      <c r="AN151" s="111">
        <v>1</v>
      </c>
      <c r="AO151" s="112">
        <v>100</v>
      </c>
      <c r="AP151" s="111">
        <v>1</v>
      </c>
    </row>
    <row r="152" spans="1:42" ht="15">
      <c r="A152" s="65" t="s">
        <v>456</v>
      </c>
      <c r="B152" s="65" t="s">
        <v>559</v>
      </c>
      <c r="C152" s="66" t="s">
        <v>2942</v>
      </c>
      <c r="D152" s="67">
        <v>3</v>
      </c>
      <c r="E152" s="68"/>
      <c r="F152" s="69">
        <v>40</v>
      </c>
      <c r="G152" s="66"/>
      <c r="H152" s="70"/>
      <c r="I152" s="71"/>
      <c r="J152" s="71"/>
      <c r="K152" s="35" t="s">
        <v>65</v>
      </c>
      <c r="L152" s="79">
        <v>152</v>
      </c>
      <c r="M152" s="79"/>
      <c r="N152" s="73"/>
      <c r="O152" s="81" t="s">
        <v>563</v>
      </c>
      <c r="P152" s="81" t="s">
        <v>325</v>
      </c>
      <c r="Q152" s="84" t="s">
        <v>713</v>
      </c>
      <c r="R152" s="81" t="s">
        <v>456</v>
      </c>
      <c r="S152" s="81" t="s">
        <v>969</v>
      </c>
      <c r="T152" s="86" t="str">
        <f>HYPERLINK("http://www.youtube.com/channel/UCZCEX7jMFA4Utg6Rl9LjtpQ")</f>
        <v>http://www.youtube.com/channel/UCZCEX7jMFA4Utg6Rl9LjtpQ</v>
      </c>
      <c r="U152" s="81"/>
      <c r="V152" s="81" t="s">
        <v>1123</v>
      </c>
      <c r="W152" s="86" t="str">
        <f>HYPERLINK("https://www.youtube.com/watch?v=o53sJ939r7A")</f>
        <v>https://www.youtube.com/watch?v=o53sJ939r7A</v>
      </c>
      <c r="X152" s="81" t="s">
        <v>1183</v>
      </c>
      <c r="Y152" s="81">
        <v>0</v>
      </c>
      <c r="Z152" s="88">
        <v>44040.73386574074</v>
      </c>
      <c r="AA152" s="88">
        <v>44040.73386574074</v>
      </c>
      <c r="AB152" s="81"/>
      <c r="AC152" s="81"/>
      <c r="AD152" s="84" t="s">
        <v>1239</v>
      </c>
      <c r="AE152" s="82">
        <v>1</v>
      </c>
      <c r="AF152" s="83" t="str">
        <f>REPLACE(INDEX(GroupVertices[Group],MATCH(Edges[[#This Row],[Vertex 1]],GroupVertices[Vertex],0)),1,1,"")</f>
        <v>12</v>
      </c>
      <c r="AG152" s="83" t="str">
        <f>REPLACE(INDEX(GroupVertices[Group],MATCH(Edges[[#This Row],[Vertex 2]],GroupVertices[Vertex],0)),1,1,"")</f>
        <v>12</v>
      </c>
      <c r="AH152" s="111">
        <v>0</v>
      </c>
      <c r="AI152" s="112">
        <v>0</v>
      </c>
      <c r="AJ152" s="111">
        <v>0</v>
      </c>
      <c r="AK152" s="112">
        <v>0</v>
      </c>
      <c r="AL152" s="111">
        <v>0</v>
      </c>
      <c r="AM152" s="112">
        <v>0</v>
      </c>
      <c r="AN152" s="111">
        <v>35</v>
      </c>
      <c r="AO152" s="112">
        <v>100</v>
      </c>
      <c r="AP152" s="111">
        <v>35</v>
      </c>
    </row>
    <row r="153" spans="1:42" ht="15">
      <c r="A153" s="65" t="s">
        <v>457</v>
      </c>
      <c r="B153" s="65" t="s">
        <v>559</v>
      </c>
      <c r="C153" s="66" t="s">
        <v>2942</v>
      </c>
      <c r="D153" s="67">
        <v>3</v>
      </c>
      <c r="E153" s="68"/>
      <c r="F153" s="69">
        <v>40</v>
      </c>
      <c r="G153" s="66"/>
      <c r="H153" s="70"/>
      <c r="I153" s="71"/>
      <c r="J153" s="71"/>
      <c r="K153" s="35" t="s">
        <v>65</v>
      </c>
      <c r="L153" s="79">
        <v>153</v>
      </c>
      <c r="M153" s="79"/>
      <c r="N153" s="73"/>
      <c r="O153" s="81" t="s">
        <v>563</v>
      </c>
      <c r="P153" s="81" t="s">
        <v>325</v>
      </c>
      <c r="Q153" s="84" t="s">
        <v>714</v>
      </c>
      <c r="R153" s="81" t="s">
        <v>457</v>
      </c>
      <c r="S153" s="81" t="s">
        <v>970</v>
      </c>
      <c r="T153" s="86" t="str">
        <f>HYPERLINK("http://www.youtube.com/channel/UCXFnJs6JEY91BWkgElUiIig")</f>
        <v>http://www.youtube.com/channel/UCXFnJs6JEY91BWkgElUiIig</v>
      </c>
      <c r="U153" s="81"/>
      <c r="V153" s="81" t="s">
        <v>1123</v>
      </c>
      <c r="W153" s="86" t="str">
        <f>HYPERLINK("https://www.youtube.com/watch?v=o53sJ939r7A")</f>
        <v>https://www.youtube.com/watch?v=o53sJ939r7A</v>
      </c>
      <c r="X153" s="81" t="s">
        <v>1183</v>
      </c>
      <c r="Y153" s="81">
        <v>0</v>
      </c>
      <c r="Z153" s="88">
        <v>44697.01391203704</v>
      </c>
      <c r="AA153" s="88">
        <v>44697.01391203704</v>
      </c>
      <c r="AB153" s="81"/>
      <c r="AC153" s="81"/>
      <c r="AD153" s="84" t="s">
        <v>1239</v>
      </c>
      <c r="AE153" s="82">
        <v>1</v>
      </c>
      <c r="AF153" s="83" t="str">
        <f>REPLACE(INDEX(GroupVertices[Group],MATCH(Edges[[#This Row],[Vertex 1]],GroupVertices[Vertex],0)),1,1,"")</f>
        <v>12</v>
      </c>
      <c r="AG153" s="83" t="str">
        <f>REPLACE(INDEX(GroupVertices[Group],MATCH(Edges[[#This Row],[Vertex 2]],GroupVertices[Vertex],0)),1,1,"")</f>
        <v>12</v>
      </c>
      <c r="AH153" s="111">
        <v>0</v>
      </c>
      <c r="AI153" s="112">
        <v>0</v>
      </c>
      <c r="AJ153" s="111">
        <v>0</v>
      </c>
      <c r="AK153" s="112">
        <v>0</v>
      </c>
      <c r="AL153" s="111">
        <v>0</v>
      </c>
      <c r="AM153" s="112">
        <v>0</v>
      </c>
      <c r="AN153" s="111">
        <v>7</v>
      </c>
      <c r="AO153" s="112">
        <v>100</v>
      </c>
      <c r="AP153" s="111">
        <v>7</v>
      </c>
    </row>
    <row r="154" spans="1:42" ht="15">
      <c r="A154" s="65" t="s">
        <v>369</v>
      </c>
      <c r="B154" s="65" t="s">
        <v>458</v>
      </c>
      <c r="C154" s="66" t="s">
        <v>2942</v>
      </c>
      <c r="D154" s="67">
        <v>3</v>
      </c>
      <c r="E154" s="68"/>
      <c r="F154" s="69">
        <v>40</v>
      </c>
      <c r="G154" s="66"/>
      <c r="H154" s="70"/>
      <c r="I154" s="71"/>
      <c r="J154" s="71"/>
      <c r="K154" s="35" t="s">
        <v>66</v>
      </c>
      <c r="L154" s="79">
        <v>154</v>
      </c>
      <c r="M154" s="79"/>
      <c r="N154" s="73"/>
      <c r="O154" s="81" t="s">
        <v>564</v>
      </c>
      <c r="P154" s="81" t="s">
        <v>566</v>
      </c>
      <c r="Q154" s="84" t="s">
        <v>715</v>
      </c>
      <c r="R154" s="81" t="s">
        <v>369</v>
      </c>
      <c r="S154" s="81" t="s">
        <v>882</v>
      </c>
      <c r="T154" s="86" t="str">
        <f>HYPERLINK("http://www.youtube.com/channel/UCerAw4EfTOnYYxLLPZAzMxQ")</f>
        <v>http://www.youtube.com/channel/UCerAw4EfTOnYYxLLPZAzMxQ</v>
      </c>
      <c r="U154" s="81" t="s">
        <v>1064</v>
      </c>
      <c r="V154" s="81" t="s">
        <v>1124</v>
      </c>
      <c r="W154" s="86" t="str">
        <f>HYPERLINK("https://www.youtube.com/watch?v=08MqGSL9TNQ")</f>
        <v>https://www.youtube.com/watch?v=08MqGSL9TNQ</v>
      </c>
      <c r="X154" s="81" t="s">
        <v>1183</v>
      </c>
      <c r="Y154" s="81">
        <v>0</v>
      </c>
      <c r="Z154" s="88">
        <v>41977.76976851852</v>
      </c>
      <c r="AA154" s="88">
        <v>41977.76976851852</v>
      </c>
      <c r="AB154" s="81"/>
      <c r="AC154" s="81"/>
      <c r="AD154" s="84" t="s">
        <v>1239</v>
      </c>
      <c r="AE154" s="82">
        <v>1</v>
      </c>
      <c r="AF154" s="83" t="str">
        <f>REPLACE(INDEX(GroupVertices[Group],MATCH(Edges[[#This Row],[Vertex 1]],GroupVertices[Vertex],0)),1,1,"")</f>
        <v>1</v>
      </c>
      <c r="AG154" s="83" t="str">
        <f>REPLACE(INDEX(GroupVertices[Group],MATCH(Edges[[#This Row],[Vertex 2]],GroupVertices[Vertex],0)),1,1,"")</f>
        <v>1</v>
      </c>
      <c r="AH154" s="111">
        <v>1</v>
      </c>
      <c r="AI154" s="112">
        <v>1.7543859649122806</v>
      </c>
      <c r="AJ154" s="111">
        <v>0</v>
      </c>
      <c r="AK154" s="112">
        <v>0</v>
      </c>
      <c r="AL154" s="111">
        <v>0</v>
      </c>
      <c r="AM154" s="112">
        <v>0</v>
      </c>
      <c r="AN154" s="111">
        <v>56</v>
      </c>
      <c r="AO154" s="112">
        <v>98.24561403508773</v>
      </c>
      <c r="AP154" s="111">
        <v>57</v>
      </c>
    </row>
    <row r="155" spans="1:42" ht="15">
      <c r="A155" s="65" t="s">
        <v>458</v>
      </c>
      <c r="B155" s="65" t="s">
        <v>458</v>
      </c>
      <c r="C155" s="66" t="s">
        <v>2943</v>
      </c>
      <c r="D155" s="67">
        <v>4.4</v>
      </c>
      <c r="E155" s="68"/>
      <c r="F155" s="69">
        <v>35</v>
      </c>
      <c r="G155" s="66"/>
      <c r="H155" s="70"/>
      <c r="I155" s="71"/>
      <c r="J155" s="71"/>
      <c r="K155" s="35" t="s">
        <v>65</v>
      </c>
      <c r="L155" s="79">
        <v>155</v>
      </c>
      <c r="M155" s="79"/>
      <c r="N155" s="73"/>
      <c r="O155" s="81" t="s">
        <v>564</v>
      </c>
      <c r="P155" s="81" t="s">
        <v>566</v>
      </c>
      <c r="Q155" s="84" t="s">
        <v>716</v>
      </c>
      <c r="R155" s="81" t="s">
        <v>458</v>
      </c>
      <c r="S155" s="81" t="s">
        <v>971</v>
      </c>
      <c r="T155" s="86" t="str">
        <f>HYPERLINK("http://www.youtube.com/channel/UCx3Xvg2G9MUra2f7eWrweGg")</f>
        <v>http://www.youtube.com/channel/UCx3Xvg2G9MUra2f7eWrweGg</v>
      </c>
      <c r="U155" s="81" t="s">
        <v>1064</v>
      </c>
      <c r="V155" s="81" t="s">
        <v>1124</v>
      </c>
      <c r="W155" s="86" t="str">
        <f>HYPERLINK("https://www.youtube.com/watch?v=08MqGSL9TNQ")</f>
        <v>https://www.youtube.com/watch?v=08MqGSL9TNQ</v>
      </c>
      <c r="X155" s="81" t="s">
        <v>1183</v>
      </c>
      <c r="Y155" s="81">
        <v>0</v>
      </c>
      <c r="Z155" s="88">
        <v>41981.45888888889</v>
      </c>
      <c r="AA155" s="88">
        <v>41981.45888888889</v>
      </c>
      <c r="AB155" s="81"/>
      <c r="AC155" s="81"/>
      <c r="AD155" s="84" t="s">
        <v>1239</v>
      </c>
      <c r="AE155" s="82">
        <v>2</v>
      </c>
      <c r="AF155" s="83" t="str">
        <f>REPLACE(INDEX(GroupVertices[Group],MATCH(Edges[[#This Row],[Vertex 1]],GroupVertices[Vertex],0)),1,1,"")</f>
        <v>1</v>
      </c>
      <c r="AG155" s="83" t="str">
        <f>REPLACE(INDEX(GroupVertices[Group],MATCH(Edges[[#This Row],[Vertex 2]],GroupVertices[Vertex],0)),1,1,"")</f>
        <v>1</v>
      </c>
      <c r="AH155" s="111">
        <v>5</v>
      </c>
      <c r="AI155" s="112">
        <v>18.51851851851852</v>
      </c>
      <c r="AJ155" s="111">
        <v>0</v>
      </c>
      <c r="AK155" s="112">
        <v>0</v>
      </c>
      <c r="AL155" s="111">
        <v>0</v>
      </c>
      <c r="AM155" s="112">
        <v>0</v>
      </c>
      <c r="AN155" s="111">
        <v>22</v>
      </c>
      <c r="AO155" s="112">
        <v>81.48148148148148</v>
      </c>
      <c r="AP155" s="111">
        <v>27</v>
      </c>
    </row>
    <row r="156" spans="1:42" ht="15">
      <c r="A156" s="65" t="s">
        <v>458</v>
      </c>
      <c r="B156" s="65" t="s">
        <v>458</v>
      </c>
      <c r="C156" s="66" t="s">
        <v>2943</v>
      </c>
      <c r="D156" s="67">
        <v>4.4</v>
      </c>
      <c r="E156" s="68"/>
      <c r="F156" s="69">
        <v>35</v>
      </c>
      <c r="G156" s="66"/>
      <c r="H156" s="70"/>
      <c r="I156" s="71"/>
      <c r="J156" s="71"/>
      <c r="K156" s="35" t="s">
        <v>65</v>
      </c>
      <c r="L156" s="79">
        <v>156</v>
      </c>
      <c r="M156" s="79"/>
      <c r="N156" s="73"/>
      <c r="O156" s="81" t="s">
        <v>564</v>
      </c>
      <c r="P156" s="81" t="s">
        <v>566</v>
      </c>
      <c r="Q156" s="84" t="s">
        <v>717</v>
      </c>
      <c r="R156" s="81" t="s">
        <v>458</v>
      </c>
      <c r="S156" s="81" t="s">
        <v>971</v>
      </c>
      <c r="T156" s="86" t="str">
        <f>HYPERLINK("http://www.youtube.com/channel/UCx3Xvg2G9MUra2f7eWrweGg")</f>
        <v>http://www.youtube.com/channel/UCx3Xvg2G9MUra2f7eWrweGg</v>
      </c>
      <c r="U156" s="81" t="s">
        <v>1064</v>
      </c>
      <c r="V156" s="81" t="s">
        <v>1124</v>
      </c>
      <c r="W156" s="86" t="str">
        <f>HYPERLINK("https://www.youtube.com/watch?v=08MqGSL9TNQ")</f>
        <v>https://www.youtube.com/watch?v=08MqGSL9TNQ</v>
      </c>
      <c r="X156" s="81" t="s">
        <v>1183</v>
      </c>
      <c r="Y156" s="81">
        <v>0</v>
      </c>
      <c r="Z156" s="88">
        <v>41981.459027777775</v>
      </c>
      <c r="AA156" s="88">
        <v>41981.459027777775</v>
      </c>
      <c r="AB156" s="81"/>
      <c r="AC156" s="81"/>
      <c r="AD156" s="84" t="s">
        <v>1239</v>
      </c>
      <c r="AE156" s="82">
        <v>2</v>
      </c>
      <c r="AF156" s="83" t="str">
        <f>REPLACE(INDEX(GroupVertices[Group],MATCH(Edges[[#This Row],[Vertex 1]],GroupVertices[Vertex],0)),1,1,"")</f>
        <v>1</v>
      </c>
      <c r="AG156" s="83" t="str">
        <f>REPLACE(INDEX(GroupVertices[Group],MATCH(Edges[[#This Row],[Vertex 2]],GroupVertices[Vertex],0)),1,1,"")</f>
        <v>1</v>
      </c>
      <c r="AH156" s="111">
        <v>1</v>
      </c>
      <c r="AI156" s="112">
        <v>50</v>
      </c>
      <c r="AJ156" s="111">
        <v>0</v>
      </c>
      <c r="AK156" s="112">
        <v>0</v>
      </c>
      <c r="AL156" s="111">
        <v>0</v>
      </c>
      <c r="AM156" s="112">
        <v>0</v>
      </c>
      <c r="AN156" s="111">
        <v>1</v>
      </c>
      <c r="AO156" s="112">
        <v>50</v>
      </c>
      <c r="AP156" s="111">
        <v>2</v>
      </c>
    </row>
    <row r="157" spans="1:42" ht="15">
      <c r="A157" s="65" t="s">
        <v>458</v>
      </c>
      <c r="B157" s="65" t="s">
        <v>369</v>
      </c>
      <c r="C157" s="66" t="s">
        <v>2942</v>
      </c>
      <c r="D157" s="67">
        <v>3</v>
      </c>
      <c r="E157" s="68"/>
      <c r="F157" s="69">
        <v>40</v>
      </c>
      <c r="G157" s="66"/>
      <c r="H157" s="70"/>
      <c r="I157" s="71"/>
      <c r="J157" s="71"/>
      <c r="K157" s="35" t="s">
        <v>66</v>
      </c>
      <c r="L157" s="79">
        <v>157</v>
      </c>
      <c r="M157" s="79"/>
      <c r="N157" s="73"/>
      <c r="O157" s="81" t="s">
        <v>563</v>
      </c>
      <c r="P157" s="81" t="s">
        <v>325</v>
      </c>
      <c r="Q157" s="84" t="s">
        <v>718</v>
      </c>
      <c r="R157" s="81" t="s">
        <v>458</v>
      </c>
      <c r="S157" s="81" t="s">
        <v>971</v>
      </c>
      <c r="T157" s="86" t="str">
        <f>HYPERLINK("http://www.youtube.com/channel/UCx3Xvg2G9MUra2f7eWrweGg")</f>
        <v>http://www.youtube.com/channel/UCx3Xvg2G9MUra2f7eWrweGg</v>
      </c>
      <c r="U157" s="81"/>
      <c r="V157" s="81" t="s">
        <v>1124</v>
      </c>
      <c r="W157" s="86" t="str">
        <f>HYPERLINK("https://www.youtube.com/watch?v=08MqGSL9TNQ")</f>
        <v>https://www.youtube.com/watch?v=08MqGSL9TNQ</v>
      </c>
      <c r="X157" s="81" t="s">
        <v>1183</v>
      </c>
      <c r="Y157" s="81">
        <v>1</v>
      </c>
      <c r="Z157" s="88">
        <v>41977.64616898148</v>
      </c>
      <c r="AA157" s="88">
        <v>41977.64616898148</v>
      </c>
      <c r="AB157" s="81"/>
      <c r="AC157" s="81"/>
      <c r="AD157" s="84" t="s">
        <v>1239</v>
      </c>
      <c r="AE157" s="82">
        <v>1</v>
      </c>
      <c r="AF157" s="83" t="str">
        <f>REPLACE(INDEX(GroupVertices[Group],MATCH(Edges[[#This Row],[Vertex 1]],GroupVertices[Vertex],0)),1,1,"")</f>
        <v>1</v>
      </c>
      <c r="AG157" s="83" t="str">
        <f>REPLACE(INDEX(GroupVertices[Group],MATCH(Edges[[#This Row],[Vertex 2]],GroupVertices[Vertex],0)),1,1,"")</f>
        <v>1</v>
      </c>
      <c r="AH157" s="111">
        <v>3</v>
      </c>
      <c r="AI157" s="112">
        <v>2.0134228187919465</v>
      </c>
      <c r="AJ157" s="111">
        <v>0</v>
      </c>
      <c r="AK157" s="112">
        <v>0</v>
      </c>
      <c r="AL157" s="111">
        <v>0</v>
      </c>
      <c r="AM157" s="112">
        <v>0</v>
      </c>
      <c r="AN157" s="111">
        <v>146</v>
      </c>
      <c r="AO157" s="112">
        <v>97.98657718120805</v>
      </c>
      <c r="AP157" s="111">
        <v>149</v>
      </c>
    </row>
    <row r="158" spans="1:42" ht="15">
      <c r="A158" s="65" t="s">
        <v>459</v>
      </c>
      <c r="B158" s="65" t="s">
        <v>369</v>
      </c>
      <c r="C158" s="66" t="s">
        <v>2942</v>
      </c>
      <c r="D158" s="67">
        <v>3</v>
      </c>
      <c r="E158" s="68"/>
      <c r="F158" s="69">
        <v>40</v>
      </c>
      <c r="G158" s="66"/>
      <c r="H158" s="70"/>
      <c r="I158" s="71"/>
      <c r="J158" s="71"/>
      <c r="K158" s="35" t="s">
        <v>65</v>
      </c>
      <c r="L158" s="79">
        <v>158</v>
      </c>
      <c r="M158" s="79"/>
      <c r="N158" s="73"/>
      <c r="O158" s="81" t="s">
        <v>563</v>
      </c>
      <c r="P158" s="81" t="s">
        <v>325</v>
      </c>
      <c r="Q158" s="84" t="s">
        <v>719</v>
      </c>
      <c r="R158" s="81" t="s">
        <v>459</v>
      </c>
      <c r="S158" s="81" t="s">
        <v>972</v>
      </c>
      <c r="T158" s="86" t="str">
        <f>HYPERLINK("http://www.youtube.com/channel/UClHeEpe_QWW1jxCMatKCkzQ")</f>
        <v>http://www.youtube.com/channel/UClHeEpe_QWW1jxCMatKCkzQ</v>
      </c>
      <c r="U158" s="81"/>
      <c r="V158" s="81" t="s">
        <v>1124</v>
      </c>
      <c r="W158" s="86" t="str">
        <f>HYPERLINK("https://www.youtube.com/watch?v=08MqGSL9TNQ")</f>
        <v>https://www.youtube.com/watch?v=08MqGSL9TNQ</v>
      </c>
      <c r="X158" s="81" t="s">
        <v>1183</v>
      </c>
      <c r="Y158" s="81">
        <v>0</v>
      </c>
      <c r="Z158" s="88">
        <v>42049.97001157407</v>
      </c>
      <c r="AA158" s="88">
        <v>42049.97001157407</v>
      </c>
      <c r="AB158" s="81"/>
      <c r="AC158" s="81"/>
      <c r="AD158" s="84" t="s">
        <v>1239</v>
      </c>
      <c r="AE158" s="82">
        <v>1</v>
      </c>
      <c r="AF158" s="83" t="str">
        <f>REPLACE(INDEX(GroupVertices[Group],MATCH(Edges[[#This Row],[Vertex 1]],GroupVertices[Vertex],0)),1,1,"")</f>
        <v>1</v>
      </c>
      <c r="AG158" s="83" t="str">
        <f>REPLACE(INDEX(GroupVertices[Group],MATCH(Edges[[#This Row],[Vertex 2]],GroupVertices[Vertex],0)),1,1,"")</f>
        <v>1</v>
      </c>
      <c r="AH158" s="111">
        <v>1</v>
      </c>
      <c r="AI158" s="112">
        <v>5.882352941176471</v>
      </c>
      <c r="AJ158" s="111">
        <v>0</v>
      </c>
      <c r="AK158" s="112">
        <v>0</v>
      </c>
      <c r="AL158" s="111">
        <v>0</v>
      </c>
      <c r="AM158" s="112">
        <v>0</v>
      </c>
      <c r="AN158" s="111">
        <v>16</v>
      </c>
      <c r="AO158" s="112">
        <v>94.11764705882354</v>
      </c>
      <c r="AP158" s="111">
        <v>17</v>
      </c>
    </row>
    <row r="159" spans="1:42" ht="15">
      <c r="A159" s="65" t="s">
        <v>369</v>
      </c>
      <c r="B159" s="65" t="s">
        <v>460</v>
      </c>
      <c r="C159" s="66" t="s">
        <v>2942</v>
      </c>
      <c r="D159" s="67">
        <v>3</v>
      </c>
      <c r="E159" s="68"/>
      <c r="F159" s="69">
        <v>40</v>
      </c>
      <c r="G159" s="66"/>
      <c r="H159" s="70"/>
      <c r="I159" s="71"/>
      <c r="J159" s="71"/>
      <c r="K159" s="35" t="s">
        <v>66</v>
      </c>
      <c r="L159" s="79">
        <v>159</v>
      </c>
      <c r="M159" s="79"/>
      <c r="N159" s="73"/>
      <c r="O159" s="81" t="s">
        <v>564</v>
      </c>
      <c r="P159" s="81" t="s">
        <v>566</v>
      </c>
      <c r="Q159" s="84" t="s">
        <v>720</v>
      </c>
      <c r="R159" s="81" t="s">
        <v>369</v>
      </c>
      <c r="S159" s="81" t="s">
        <v>882</v>
      </c>
      <c r="T159" s="86" t="str">
        <f>HYPERLINK("http://www.youtube.com/channel/UCerAw4EfTOnYYxLLPZAzMxQ")</f>
        <v>http://www.youtube.com/channel/UCerAw4EfTOnYYxLLPZAzMxQ</v>
      </c>
      <c r="U159" s="81" t="s">
        <v>1065</v>
      </c>
      <c r="V159" s="81" t="s">
        <v>1124</v>
      </c>
      <c r="W159" s="86" t="str">
        <f>HYPERLINK("https://www.youtube.com/watch?v=08MqGSL9TNQ")</f>
        <v>https://www.youtube.com/watch?v=08MqGSL9TNQ</v>
      </c>
      <c r="X159" s="81" t="s">
        <v>1183</v>
      </c>
      <c r="Y159" s="81">
        <v>0</v>
      </c>
      <c r="Z159" s="88">
        <v>42114.52422453704</v>
      </c>
      <c r="AA159" s="88">
        <v>42114.52422453704</v>
      </c>
      <c r="AB159" s="81" t="s">
        <v>1198</v>
      </c>
      <c r="AC159" s="81" t="s">
        <v>1230</v>
      </c>
      <c r="AD159" s="84" t="s">
        <v>1239</v>
      </c>
      <c r="AE159" s="82">
        <v>1</v>
      </c>
      <c r="AF159" s="83" t="str">
        <f>REPLACE(INDEX(GroupVertices[Group],MATCH(Edges[[#This Row],[Vertex 1]],GroupVertices[Vertex],0)),1,1,"")</f>
        <v>1</v>
      </c>
      <c r="AG159" s="83" t="str">
        <f>REPLACE(INDEX(GroupVertices[Group],MATCH(Edges[[#This Row],[Vertex 2]],GroupVertices[Vertex],0)),1,1,"")</f>
        <v>1</v>
      </c>
      <c r="AH159" s="111">
        <v>3</v>
      </c>
      <c r="AI159" s="112">
        <v>3.1578947368421053</v>
      </c>
      <c r="AJ159" s="111">
        <v>0</v>
      </c>
      <c r="AK159" s="112">
        <v>0</v>
      </c>
      <c r="AL159" s="111">
        <v>0</v>
      </c>
      <c r="AM159" s="112">
        <v>0</v>
      </c>
      <c r="AN159" s="111">
        <v>92</v>
      </c>
      <c r="AO159" s="112">
        <v>96.84210526315789</v>
      </c>
      <c r="AP159" s="111">
        <v>95</v>
      </c>
    </row>
    <row r="160" spans="1:42" ht="15">
      <c r="A160" s="65" t="s">
        <v>460</v>
      </c>
      <c r="B160" s="65" t="s">
        <v>460</v>
      </c>
      <c r="C160" s="66" t="s">
        <v>2942</v>
      </c>
      <c r="D160" s="67">
        <v>3</v>
      </c>
      <c r="E160" s="68"/>
      <c r="F160" s="69">
        <v>40</v>
      </c>
      <c r="G160" s="66"/>
      <c r="H160" s="70"/>
      <c r="I160" s="71"/>
      <c r="J160" s="71"/>
      <c r="K160" s="35" t="s">
        <v>65</v>
      </c>
      <c r="L160" s="79">
        <v>160</v>
      </c>
      <c r="M160" s="79"/>
      <c r="N160" s="73"/>
      <c r="O160" s="81" t="s">
        <v>564</v>
      </c>
      <c r="P160" s="81" t="s">
        <v>566</v>
      </c>
      <c r="Q160" s="84" t="s">
        <v>721</v>
      </c>
      <c r="R160" s="81" t="s">
        <v>460</v>
      </c>
      <c r="S160" s="81" t="s">
        <v>973</v>
      </c>
      <c r="T160" s="86" t="str">
        <f>HYPERLINK("http://www.youtube.com/channel/UC6xUcpewcYKMIvXWC39bu9A")</f>
        <v>http://www.youtube.com/channel/UC6xUcpewcYKMIvXWC39bu9A</v>
      </c>
      <c r="U160" s="81" t="s">
        <v>1065</v>
      </c>
      <c r="V160" s="81" t="s">
        <v>1124</v>
      </c>
      <c r="W160" s="86" t="str">
        <f>HYPERLINK("https://www.youtube.com/watch?v=08MqGSL9TNQ")</f>
        <v>https://www.youtube.com/watch?v=08MqGSL9TNQ</v>
      </c>
      <c r="X160" s="81" t="s">
        <v>1183</v>
      </c>
      <c r="Y160" s="81">
        <v>0</v>
      </c>
      <c r="Z160" s="88">
        <v>42114.58358796296</v>
      </c>
      <c r="AA160" s="88">
        <v>42114.58358796296</v>
      </c>
      <c r="AB160" s="81"/>
      <c r="AC160" s="81"/>
      <c r="AD160" s="84" t="s">
        <v>1239</v>
      </c>
      <c r="AE160" s="82">
        <v>1</v>
      </c>
      <c r="AF160" s="83" t="str">
        <f>REPLACE(INDEX(GroupVertices[Group],MATCH(Edges[[#This Row],[Vertex 1]],GroupVertices[Vertex],0)),1,1,"")</f>
        <v>1</v>
      </c>
      <c r="AG160" s="83" t="str">
        <f>REPLACE(INDEX(GroupVertices[Group],MATCH(Edges[[#This Row],[Vertex 2]],GroupVertices[Vertex],0)),1,1,"")</f>
        <v>1</v>
      </c>
      <c r="AH160" s="111">
        <v>6</v>
      </c>
      <c r="AI160" s="112">
        <v>12</v>
      </c>
      <c r="AJ160" s="111">
        <v>0</v>
      </c>
      <c r="AK160" s="112">
        <v>0</v>
      </c>
      <c r="AL160" s="111">
        <v>0</v>
      </c>
      <c r="AM160" s="112">
        <v>0</v>
      </c>
      <c r="AN160" s="111">
        <v>44</v>
      </c>
      <c r="AO160" s="112">
        <v>88</v>
      </c>
      <c r="AP160" s="111">
        <v>50</v>
      </c>
    </row>
    <row r="161" spans="1:42" ht="15">
      <c r="A161" s="65" t="s">
        <v>460</v>
      </c>
      <c r="B161" s="65" t="s">
        <v>369</v>
      </c>
      <c r="C161" s="66" t="s">
        <v>2942</v>
      </c>
      <c r="D161" s="67">
        <v>3</v>
      </c>
      <c r="E161" s="68"/>
      <c r="F161" s="69">
        <v>40</v>
      </c>
      <c r="G161" s="66"/>
      <c r="H161" s="70"/>
      <c r="I161" s="71"/>
      <c r="J161" s="71"/>
      <c r="K161" s="35" t="s">
        <v>66</v>
      </c>
      <c r="L161" s="79">
        <v>161</v>
      </c>
      <c r="M161" s="79"/>
      <c r="N161" s="73"/>
      <c r="O161" s="81" t="s">
        <v>563</v>
      </c>
      <c r="P161" s="81" t="s">
        <v>325</v>
      </c>
      <c r="Q161" s="84" t="s">
        <v>722</v>
      </c>
      <c r="R161" s="81" t="s">
        <v>460</v>
      </c>
      <c r="S161" s="81" t="s">
        <v>973</v>
      </c>
      <c r="T161" s="86" t="str">
        <f>HYPERLINK("http://www.youtube.com/channel/UC6xUcpewcYKMIvXWC39bu9A")</f>
        <v>http://www.youtube.com/channel/UC6xUcpewcYKMIvXWC39bu9A</v>
      </c>
      <c r="U161" s="81"/>
      <c r="V161" s="81" t="s">
        <v>1124</v>
      </c>
      <c r="W161" s="86" t="str">
        <f>HYPERLINK("https://www.youtube.com/watch?v=08MqGSL9TNQ")</f>
        <v>https://www.youtube.com/watch?v=08MqGSL9TNQ</v>
      </c>
      <c r="X161" s="81" t="s">
        <v>1183</v>
      </c>
      <c r="Y161" s="81">
        <v>0</v>
      </c>
      <c r="Z161" s="88">
        <v>42114.388773148145</v>
      </c>
      <c r="AA161" s="88">
        <v>42114.388773148145</v>
      </c>
      <c r="AB161" s="81"/>
      <c r="AC161" s="81"/>
      <c r="AD161" s="84" t="s">
        <v>1239</v>
      </c>
      <c r="AE161" s="82">
        <v>1</v>
      </c>
      <c r="AF161" s="83" t="str">
        <f>REPLACE(INDEX(GroupVertices[Group],MATCH(Edges[[#This Row],[Vertex 1]],GroupVertices[Vertex],0)),1,1,"")</f>
        <v>1</v>
      </c>
      <c r="AG161" s="83" t="str">
        <f>REPLACE(INDEX(GroupVertices[Group],MATCH(Edges[[#This Row],[Vertex 2]],GroupVertices[Vertex],0)),1,1,"")</f>
        <v>1</v>
      </c>
      <c r="AH161" s="111">
        <v>8</v>
      </c>
      <c r="AI161" s="112">
        <v>4.651162790697675</v>
      </c>
      <c r="AJ161" s="111">
        <v>4</v>
      </c>
      <c r="AK161" s="112">
        <v>2.3255813953488373</v>
      </c>
      <c r="AL161" s="111">
        <v>0</v>
      </c>
      <c r="AM161" s="112">
        <v>0</v>
      </c>
      <c r="AN161" s="111">
        <v>160</v>
      </c>
      <c r="AO161" s="112">
        <v>93.02325581395348</v>
      </c>
      <c r="AP161" s="111">
        <v>172</v>
      </c>
    </row>
    <row r="162" spans="1:42" ht="15">
      <c r="A162" s="65" t="s">
        <v>461</v>
      </c>
      <c r="B162" s="65" t="s">
        <v>369</v>
      </c>
      <c r="C162" s="66" t="s">
        <v>2942</v>
      </c>
      <c r="D162" s="67">
        <v>3</v>
      </c>
      <c r="E162" s="68"/>
      <c r="F162" s="69">
        <v>40</v>
      </c>
      <c r="G162" s="66"/>
      <c r="H162" s="70"/>
      <c r="I162" s="71"/>
      <c r="J162" s="71"/>
      <c r="K162" s="35" t="s">
        <v>65</v>
      </c>
      <c r="L162" s="79">
        <v>162</v>
      </c>
      <c r="M162" s="79"/>
      <c r="N162" s="73"/>
      <c r="O162" s="81" t="s">
        <v>563</v>
      </c>
      <c r="P162" s="81" t="s">
        <v>325</v>
      </c>
      <c r="Q162" s="84" t="s">
        <v>723</v>
      </c>
      <c r="R162" s="81" t="s">
        <v>461</v>
      </c>
      <c r="S162" s="81" t="s">
        <v>974</v>
      </c>
      <c r="T162" s="86" t="str">
        <f>HYPERLINK("http://www.youtube.com/channel/UC9jGt1X3J14c5GAeAO8EDvQ")</f>
        <v>http://www.youtube.com/channel/UC9jGt1X3J14c5GAeAO8EDvQ</v>
      </c>
      <c r="U162" s="81"/>
      <c r="V162" s="81" t="s">
        <v>1124</v>
      </c>
      <c r="W162" s="86" t="str">
        <f>HYPERLINK("https://www.youtube.com/watch?v=08MqGSL9TNQ")</f>
        <v>https://www.youtube.com/watch?v=08MqGSL9TNQ</v>
      </c>
      <c r="X162" s="81" t="s">
        <v>1183</v>
      </c>
      <c r="Y162" s="81">
        <v>0</v>
      </c>
      <c r="Z162" s="88">
        <v>42243.78559027778</v>
      </c>
      <c r="AA162" s="88">
        <v>42243.78559027778</v>
      </c>
      <c r="AB162" s="81"/>
      <c r="AC162" s="81"/>
      <c r="AD162" s="84" t="s">
        <v>1239</v>
      </c>
      <c r="AE162" s="82">
        <v>1</v>
      </c>
      <c r="AF162" s="83" t="str">
        <f>REPLACE(INDEX(GroupVertices[Group],MATCH(Edges[[#This Row],[Vertex 1]],GroupVertices[Vertex],0)),1,1,"")</f>
        <v>1</v>
      </c>
      <c r="AG162" s="83" t="str">
        <f>REPLACE(INDEX(GroupVertices[Group],MATCH(Edges[[#This Row],[Vertex 2]],GroupVertices[Vertex],0)),1,1,"")</f>
        <v>1</v>
      </c>
      <c r="AH162" s="111">
        <v>2</v>
      </c>
      <c r="AI162" s="112">
        <v>5.714285714285714</v>
      </c>
      <c r="AJ162" s="111">
        <v>1</v>
      </c>
      <c r="AK162" s="112">
        <v>2.857142857142857</v>
      </c>
      <c r="AL162" s="111">
        <v>0</v>
      </c>
      <c r="AM162" s="112">
        <v>0</v>
      </c>
      <c r="AN162" s="111">
        <v>32</v>
      </c>
      <c r="AO162" s="112">
        <v>91.42857142857143</v>
      </c>
      <c r="AP162" s="111">
        <v>35</v>
      </c>
    </row>
    <row r="163" spans="1:42" ht="15">
      <c r="A163" s="65" t="s">
        <v>462</v>
      </c>
      <c r="B163" s="65" t="s">
        <v>369</v>
      </c>
      <c r="C163" s="66" t="s">
        <v>2942</v>
      </c>
      <c r="D163" s="67">
        <v>3</v>
      </c>
      <c r="E163" s="68"/>
      <c r="F163" s="69">
        <v>40</v>
      </c>
      <c r="G163" s="66"/>
      <c r="H163" s="70"/>
      <c r="I163" s="71"/>
      <c r="J163" s="71"/>
      <c r="K163" s="35" t="s">
        <v>65</v>
      </c>
      <c r="L163" s="79">
        <v>163</v>
      </c>
      <c r="M163" s="79"/>
      <c r="N163" s="73"/>
      <c r="O163" s="81" t="s">
        <v>563</v>
      </c>
      <c r="P163" s="81" t="s">
        <v>325</v>
      </c>
      <c r="Q163" s="84" t="s">
        <v>724</v>
      </c>
      <c r="R163" s="81" t="s">
        <v>462</v>
      </c>
      <c r="S163" s="81" t="s">
        <v>975</v>
      </c>
      <c r="T163" s="86" t="str">
        <f>HYPERLINK("http://www.youtube.com/channel/UCA4upGBl9EGqYOrMkBRxIUg")</f>
        <v>http://www.youtube.com/channel/UCA4upGBl9EGqYOrMkBRxIUg</v>
      </c>
      <c r="U163" s="81"/>
      <c r="V163" s="81" t="s">
        <v>1124</v>
      </c>
      <c r="W163" s="86" t="str">
        <f>HYPERLINK("https://www.youtube.com/watch?v=08MqGSL9TNQ")</f>
        <v>https://www.youtube.com/watch?v=08MqGSL9TNQ</v>
      </c>
      <c r="X163" s="81" t="s">
        <v>1183</v>
      </c>
      <c r="Y163" s="81">
        <v>0</v>
      </c>
      <c r="Z163" s="88">
        <v>42280.79384259259</v>
      </c>
      <c r="AA163" s="88">
        <v>42280.79384259259</v>
      </c>
      <c r="AB163" s="81"/>
      <c r="AC163" s="81"/>
      <c r="AD163" s="84" t="s">
        <v>1239</v>
      </c>
      <c r="AE163" s="82">
        <v>1</v>
      </c>
      <c r="AF163" s="83" t="str">
        <f>REPLACE(INDEX(GroupVertices[Group],MATCH(Edges[[#This Row],[Vertex 1]],GroupVertices[Vertex],0)),1,1,"")</f>
        <v>1</v>
      </c>
      <c r="AG163" s="83" t="str">
        <f>REPLACE(INDEX(GroupVertices[Group],MATCH(Edges[[#This Row],[Vertex 2]],GroupVertices[Vertex],0)),1,1,"")</f>
        <v>1</v>
      </c>
      <c r="AH163" s="111">
        <v>2</v>
      </c>
      <c r="AI163" s="112">
        <v>7.142857142857143</v>
      </c>
      <c r="AJ163" s="111">
        <v>0</v>
      </c>
      <c r="AK163" s="112">
        <v>0</v>
      </c>
      <c r="AL163" s="111">
        <v>0</v>
      </c>
      <c r="AM163" s="112">
        <v>0</v>
      </c>
      <c r="AN163" s="111">
        <v>26</v>
      </c>
      <c r="AO163" s="112">
        <v>92.85714285714286</v>
      </c>
      <c r="AP163" s="111">
        <v>28</v>
      </c>
    </row>
    <row r="164" spans="1:42" ht="15">
      <c r="A164" s="65" t="s">
        <v>463</v>
      </c>
      <c r="B164" s="65" t="s">
        <v>369</v>
      </c>
      <c r="C164" s="66" t="s">
        <v>2942</v>
      </c>
      <c r="D164" s="67">
        <v>3</v>
      </c>
      <c r="E164" s="68"/>
      <c r="F164" s="69">
        <v>40</v>
      </c>
      <c r="G164" s="66"/>
      <c r="H164" s="70"/>
      <c r="I164" s="71"/>
      <c r="J164" s="71"/>
      <c r="K164" s="35" t="s">
        <v>65</v>
      </c>
      <c r="L164" s="79">
        <v>164</v>
      </c>
      <c r="M164" s="79"/>
      <c r="N164" s="73"/>
      <c r="O164" s="81" t="s">
        <v>563</v>
      </c>
      <c r="P164" s="81" t="s">
        <v>325</v>
      </c>
      <c r="Q164" s="84" t="s">
        <v>725</v>
      </c>
      <c r="R164" s="81" t="s">
        <v>463</v>
      </c>
      <c r="S164" s="81" t="s">
        <v>976</v>
      </c>
      <c r="T164" s="86" t="str">
        <f>HYPERLINK("http://www.youtube.com/channel/UCRaAPyppJGU5Yds5lDDlb1Q")</f>
        <v>http://www.youtube.com/channel/UCRaAPyppJGU5Yds5lDDlb1Q</v>
      </c>
      <c r="U164" s="81"/>
      <c r="V164" s="81" t="s">
        <v>1124</v>
      </c>
      <c r="W164" s="86" t="str">
        <f>HYPERLINK("https://www.youtube.com/watch?v=08MqGSL9TNQ")</f>
        <v>https://www.youtube.com/watch?v=08MqGSL9TNQ</v>
      </c>
      <c r="X164" s="81" t="s">
        <v>1183</v>
      </c>
      <c r="Y164" s="81">
        <v>0</v>
      </c>
      <c r="Z164" s="88">
        <v>42521.070127314815</v>
      </c>
      <c r="AA164" s="88">
        <v>42521.070127314815</v>
      </c>
      <c r="AB164" s="81"/>
      <c r="AC164" s="81"/>
      <c r="AD164" s="84" t="s">
        <v>1239</v>
      </c>
      <c r="AE164" s="82">
        <v>1</v>
      </c>
      <c r="AF164" s="83" t="str">
        <f>REPLACE(INDEX(GroupVertices[Group],MATCH(Edges[[#This Row],[Vertex 1]],GroupVertices[Vertex],0)),1,1,"")</f>
        <v>1</v>
      </c>
      <c r="AG164" s="83" t="str">
        <f>REPLACE(INDEX(GroupVertices[Group],MATCH(Edges[[#This Row],[Vertex 2]],GroupVertices[Vertex],0)),1,1,"")</f>
        <v>1</v>
      </c>
      <c r="AH164" s="111">
        <v>2</v>
      </c>
      <c r="AI164" s="112">
        <v>15.384615384615385</v>
      </c>
      <c r="AJ164" s="111">
        <v>0</v>
      </c>
      <c r="AK164" s="112">
        <v>0</v>
      </c>
      <c r="AL164" s="111">
        <v>0</v>
      </c>
      <c r="AM164" s="112">
        <v>0</v>
      </c>
      <c r="AN164" s="111">
        <v>11</v>
      </c>
      <c r="AO164" s="112">
        <v>84.61538461538461</v>
      </c>
      <c r="AP164" s="111">
        <v>13</v>
      </c>
    </row>
    <row r="165" spans="1:42" ht="15">
      <c r="A165" s="65" t="s">
        <v>464</v>
      </c>
      <c r="B165" s="65" t="s">
        <v>369</v>
      </c>
      <c r="C165" s="66" t="s">
        <v>2942</v>
      </c>
      <c r="D165" s="67">
        <v>3</v>
      </c>
      <c r="E165" s="68"/>
      <c r="F165" s="69">
        <v>40</v>
      </c>
      <c r="G165" s="66"/>
      <c r="H165" s="70"/>
      <c r="I165" s="71"/>
      <c r="J165" s="71"/>
      <c r="K165" s="35" t="s">
        <v>65</v>
      </c>
      <c r="L165" s="79">
        <v>165</v>
      </c>
      <c r="M165" s="79"/>
      <c r="N165" s="73"/>
      <c r="O165" s="81" t="s">
        <v>563</v>
      </c>
      <c r="P165" s="81" t="s">
        <v>325</v>
      </c>
      <c r="Q165" s="84" t="s">
        <v>726</v>
      </c>
      <c r="R165" s="81" t="s">
        <v>464</v>
      </c>
      <c r="S165" s="81" t="s">
        <v>977</v>
      </c>
      <c r="T165" s="86" t="str">
        <f>HYPERLINK("http://www.youtube.com/channel/UCV6YNtkIq41tS1aUynMnoTw")</f>
        <v>http://www.youtube.com/channel/UCV6YNtkIq41tS1aUynMnoTw</v>
      </c>
      <c r="U165" s="81"/>
      <c r="V165" s="81" t="s">
        <v>1124</v>
      </c>
      <c r="W165" s="86" t="str">
        <f>HYPERLINK("https://www.youtube.com/watch?v=08MqGSL9TNQ")</f>
        <v>https://www.youtube.com/watch?v=08MqGSL9TNQ</v>
      </c>
      <c r="X165" s="81" t="s">
        <v>1183</v>
      </c>
      <c r="Y165" s="81">
        <v>0</v>
      </c>
      <c r="Z165" s="88">
        <v>44259.85634259259</v>
      </c>
      <c r="AA165" s="88">
        <v>44259.85634259259</v>
      </c>
      <c r="AB165" s="81"/>
      <c r="AC165" s="81"/>
      <c r="AD165" s="84" t="s">
        <v>1239</v>
      </c>
      <c r="AE165" s="82">
        <v>1</v>
      </c>
      <c r="AF165" s="83" t="str">
        <f>REPLACE(INDEX(GroupVertices[Group],MATCH(Edges[[#This Row],[Vertex 1]],GroupVertices[Vertex],0)),1,1,"")</f>
        <v>1</v>
      </c>
      <c r="AG165" s="83" t="str">
        <f>REPLACE(INDEX(GroupVertices[Group],MATCH(Edges[[#This Row],[Vertex 2]],GroupVertices[Vertex],0)),1,1,"")</f>
        <v>1</v>
      </c>
      <c r="AH165" s="111">
        <v>0</v>
      </c>
      <c r="AI165" s="112">
        <v>0</v>
      </c>
      <c r="AJ165" s="111">
        <v>0</v>
      </c>
      <c r="AK165" s="112">
        <v>0</v>
      </c>
      <c r="AL165" s="111">
        <v>0</v>
      </c>
      <c r="AM165" s="112">
        <v>0</v>
      </c>
      <c r="AN165" s="111">
        <v>3</v>
      </c>
      <c r="AO165" s="112">
        <v>100</v>
      </c>
      <c r="AP165" s="111">
        <v>3</v>
      </c>
    </row>
    <row r="166" spans="1:42" ht="15">
      <c r="A166" s="65" t="s">
        <v>465</v>
      </c>
      <c r="B166" s="65" t="s">
        <v>369</v>
      </c>
      <c r="C166" s="66" t="s">
        <v>2942</v>
      </c>
      <c r="D166" s="67">
        <v>3</v>
      </c>
      <c r="E166" s="68"/>
      <c r="F166" s="69">
        <v>40</v>
      </c>
      <c r="G166" s="66"/>
      <c r="H166" s="70"/>
      <c r="I166" s="71"/>
      <c r="J166" s="71"/>
      <c r="K166" s="35" t="s">
        <v>65</v>
      </c>
      <c r="L166" s="79">
        <v>166</v>
      </c>
      <c r="M166" s="79"/>
      <c r="N166" s="73"/>
      <c r="O166" s="81" t="s">
        <v>563</v>
      </c>
      <c r="P166" s="81" t="s">
        <v>325</v>
      </c>
      <c r="Q166" s="84" t="s">
        <v>727</v>
      </c>
      <c r="R166" s="81" t="s">
        <v>465</v>
      </c>
      <c r="S166" s="81" t="s">
        <v>978</v>
      </c>
      <c r="T166" s="86" t="str">
        <f>HYPERLINK("http://www.youtube.com/channel/UCV5NmnIggBXfHNRqsqYBPHg")</f>
        <v>http://www.youtube.com/channel/UCV5NmnIggBXfHNRqsqYBPHg</v>
      </c>
      <c r="U166" s="81"/>
      <c r="V166" s="81" t="s">
        <v>1124</v>
      </c>
      <c r="W166" s="86" t="str">
        <f>HYPERLINK("https://www.youtube.com/watch?v=08MqGSL9TNQ")</f>
        <v>https://www.youtube.com/watch?v=08MqGSL9TNQ</v>
      </c>
      <c r="X166" s="81" t="s">
        <v>1183</v>
      </c>
      <c r="Y166" s="81">
        <v>0</v>
      </c>
      <c r="Z166" s="88">
        <v>44661.2193287037</v>
      </c>
      <c r="AA166" s="88">
        <v>44661.2193287037</v>
      </c>
      <c r="AB166" s="81"/>
      <c r="AC166" s="81"/>
      <c r="AD166" s="84" t="s">
        <v>1239</v>
      </c>
      <c r="AE166" s="82">
        <v>1</v>
      </c>
      <c r="AF166" s="83" t="str">
        <f>REPLACE(INDEX(GroupVertices[Group],MATCH(Edges[[#This Row],[Vertex 1]],GroupVertices[Vertex],0)),1,1,"")</f>
        <v>1</v>
      </c>
      <c r="AG166" s="83" t="str">
        <f>REPLACE(INDEX(GroupVertices[Group],MATCH(Edges[[#This Row],[Vertex 2]],GroupVertices[Vertex],0)),1,1,"")</f>
        <v>1</v>
      </c>
      <c r="AH166" s="111">
        <v>3</v>
      </c>
      <c r="AI166" s="112">
        <v>16.666666666666668</v>
      </c>
      <c r="AJ166" s="111">
        <v>0</v>
      </c>
      <c r="AK166" s="112">
        <v>0</v>
      </c>
      <c r="AL166" s="111">
        <v>0</v>
      </c>
      <c r="AM166" s="112">
        <v>0</v>
      </c>
      <c r="AN166" s="111">
        <v>15</v>
      </c>
      <c r="AO166" s="112">
        <v>83.33333333333333</v>
      </c>
      <c r="AP166" s="111">
        <v>18</v>
      </c>
    </row>
    <row r="167" spans="1:42" ht="15">
      <c r="A167" s="65" t="s">
        <v>466</v>
      </c>
      <c r="B167" s="65" t="s">
        <v>467</v>
      </c>
      <c r="C167" s="66" t="s">
        <v>2942</v>
      </c>
      <c r="D167" s="67">
        <v>3</v>
      </c>
      <c r="E167" s="68"/>
      <c r="F167" s="69">
        <v>40</v>
      </c>
      <c r="G167" s="66"/>
      <c r="H167" s="70"/>
      <c r="I167" s="71"/>
      <c r="J167" s="71"/>
      <c r="K167" s="35" t="s">
        <v>65</v>
      </c>
      <c r="L167" s="79">
        <v>167</v>
      </c>
      <c r="M167" s="79"/>
      <c r="N167" s="73"/>
      <c r="O167" s="81" t="s">
        <v>564</v>
      </c>
      <c r="P167" s="81" t="s">
        <v>566</v>
      </c>
      <c r="Q167" s="84" t="s">
        <v>728</v>
      </c>
      <c r="R167" s="81" t="s">
        <v>466</v>
      </c>
      <c r="S167" s="81" t="s">
        <v>979</v>
      </c>
      <c r="T167" s="86" t="str">
        <f>HYPERLINK("http://www.youtube.com/channel/UChkL5Lh3Dn5xtgmO7QrjuDw")</f>
        <v>http://www.youtube.com/channel/UChkL5Lh3Dn5xtgmO7QrjuDw</v>
      </c>
      <c r="U167" s="81" t="s">
        <v>1066</v>
      </c>
      <c r="V167" s="81" t="s">
        <v>1125</v>
      </c>
      <c r="W167" s="86" t="str">
        <f>HYPERLINK("https://www.youtube.com/watch?v=THdrju-UWjo")</f>
        <v>https://www.youtube.com/watch?v=THdrju-UWjo</v>
      </c>
      <c r="X167" s="81" t="s">
        <v>1183</v>
      </c>
      <c r="Y167" s="81">
        <v>0</v>
      </c>
      <c r="Z167" s="88">
        <v>44475.89346064815</v>
      </c>
      <c r="AA167" s="88">
        <v>44475.89346064815</v>
      </c>
      <c r="AB167" s="81"/>
      <c r="AC167" s="81"/>
      <c r="AD167" s="84" t="s">
        <v>1239</v>
      </c>
      <c r="AE167" s="82">
        <v>1</v>
      </c>
      <c r="AF167" s="83" t="str">
        <f>REPLACE(INDEX(GroupVertices[Group],MATCH(Edges[[#This Row],[Vertex 1]],GroupVertices[Vertex],0)),1,1,"")</f>
        <v>4</v>
      </c>
      <c r="AG167" s="83" t="str">
        <f>REPLACE(INDEX(GroupVertices[Group],MATCH(Edges[[#This Row],[Vertex 2]],GroupVertices[Vertex],0)),1,1,"")</f>
        <v>4</v>
      </c>
      <c r="AH167" s="111">
        <v>4</v>
      </c>
      <c r="AI167" s="112">
        <v>8.695652173913043</v>
      </c>
      <c r="AJ167" s="111">
        <v>0</v>
      </c>
      <c r="AK167" s="112">
        <v>0</v>
      </c>
      <c r="AL167" s="111">
        <v>0</v>
      </c>
      <c r="AM167" s="112">
        <v>0</v>
      </c>
      <c r="AN167" s="111">
        <v>42</v>
      </c>
      <c r="AO167" s="112">
        <v>91.30434782608695</v>
      </c>
      <c r="AP167" s="111">
        <v>46</v>
      </c>
    </row>
    <row r="168" spans="1:42" ht="15">
      <c r="A168" s="65" t="s">
        <v>351</v>
      </c>
      <c r="B168" s="65" t="s">
        <v>467</v>
      </c>
      <c r="C168" s="66" t="s">
        <v>2942</v>
      </c>
      <c r="D168" s="67">
        <v>3</v>
      </c>
      <c r="E168" s="68"/>
      <c r="F168" s="69">
        <v>40</v>
      </c>
      <c r="G168" s="66"/>
      <c r="H168" s="70"/>
      <c r="I168" s="71"/>
      <c r="J168" s="71"/>
      <c r="K168" s="35" t="s">
        <v>66</v>
      </c>
      <c r="L168" s="79">
        <v>168</v>
      </c>
      <c r="M168" s="79"/>
      <c r="N168" s="73"/>
      <c r="O168" s="81" t="s">
        <v>564</v>
      </c>
      <c r="P168" s="81" t="s">
        <v>566</v>
      </c>
      <c r="Q168" s="84" t="s">
        <v>729</v>
      </c>
      <c r="R168" s="81" t="s">
        <v>351</v>
      </c>
      <c r="S168" s="81" t="s">
        <v>864</v>
      </c>
      <c r="T168" s="86" t="str">
        <f>HYPERLINK("http://www.youtube.com/channel/UCT2t7sQp0Qyi9dxuckjOWAw")</f>
        <v>http://www.youtube.com/channel/UCT2t7sQp0Qyi9dxuckjOWAw</v>
      </c>
      <c r="U168" s="81" t="s">
        <v>1067</v>
      </c>
      <c r="V168" s="81" t="s">
        <v>1094</v>
      </c>
      <c r="W168" s="86" t="str">
        <f>HYPERLINK("https://www.youtube.com/watch?v=3s6qbWY07FI")</f>
        <v>https://www.youtube.com/watch?v=3s6qbWY07FI</v>
      </c>
      <c r="X168" s="81" t="s">
        <v>1183</v>
      </c>
      <c r="Y168" s="81">
        <v>2</v>
      </c>
      <c r="Z168" s="88">
        <v>44399.3250462963</v>
      </c>
      <c r="AA168" s="88">
        <v>44399.3250462963</v>
      </c>
      <c r="AB168" s="81"/>
      <c r="AC168" s="81"/>
      <c r="AD168" s="84" t="s">
        <v>1239</v>
      </c>
      <c r="AE168" s="82">
        <v>1</v>
      </c>
      <c r="AF168" s="83" t="str">
        <f>REPLACE(INDEX(GroupVertices[Group],MATCH(Edges[[#This Row],[Vertex 1]],GroupVertices[Vertex],0)),1,1,"")</f>
        <v>4</v>
      </c>
      <c r="AG168" s="83" t="str">
        <f>REPLACE(INDEX(GroupVertices[Group],MATCH(Edges[[#This Row],[Vertex 2]],GroupVertices[Vertex],0)),1,1,"")</f>
        <v>4</v>
      </c>
      <c r="AH168" s="111">
        <v>0</v>
      </c>
      <c r="AI168" s="112">
        <v>0</v>
      </c>
      <c r="AJ168" s="111">
        <v>0</v>
      </c>
      <c r="AK168" s="112">
        <v>0</v>
      </c>
      <c r="AL168" s="111">
        <v>0</v>
      </c>
      <c r="AM168" s="112">
        <v>0</v>
      </c>
      <c r="AN168" s="111">
        <v>47</v>
      </c>
      <c r="AO168" s="112">
        <v>100</v>
      </c>
      <c r="AP168" s="111">
        <v>47</v>
      </c>
    </row>
    <row r="169" spans="1:42" ht="15">
      <c r="A169" s="65" t="s">
        <v>467</v>
      </c>
      <c r="B169" s="65" t="s">
        <v>351</v>
      </c>
      <c r="C169" s="66" t="s">
        <v>2942</v>
      </c>
      <c r="D169" s="67">
        <v>3</v>
      </c>
      <c r="E169" s="68"/>
      <c r="F169" s="69">
        <v>40</v>
      </c>
      <c r="G169" s="66"/>
      <c r="H169" s="70"/>
      <c r="I169" s="71"/>
      <c r="J169" s="71"/>
      <c r="K169" s="35" t="s">
        <v>66</v>
      </c>
      <c r="L169" s="79">
        <v>169</v>
      </c>
      <c r="M169" s="79"/>
      <c r="N169" s="73"/>
      <c r="O169" s="81" t="s">
        <v>563</v>
      </c>
      <c r="P169" s="81" t="s">
        <v>325</v>
      </c>
      <c r="Q169" s="84" t="s">
        <v>730</v>
      </c>
      <c r="R169" s="81" t="s">
        <v>467</v>
      </c>
      <c r="S169" s="81" t="s">
        <v>980</v>
      </c>
      <c r="T169" s="86" t="str">
        <f>HYPERLINK("http://www.youtube.com/channel/UCuTRD7EkeDxVFdkdziqGAWA")</f>
        <v>http://www.youtube.com/channel/UCuTRD7EkeDxVFdkdziqGAWA</v>
      </c>
      <c r="U169" s="81"/>
      <c r="V169" s="81" t="s">
        <v>1094</v>
      </c>
      <c r="W169" s="86" t="str">
        <f>HYPERLINK("https://www.youtube.com/watch?v=3s6qbWY07FI")</f>
        <v>https://www.youtube.com/watch?v=3s6qbWY07FI</v>
      </c>
      <c r="X169" s="81" t="s">
        <v>1183</v>
      </c>
      <c r="Y169" s="81">
        <v>1</v>
      </c>
      <c r="Z169" s="88">
        <v>44399.29004629629</v>
      </c>
      <c r="AA169" s="88">
        <v>44399.29004629629</v>
      </c>
      <c r="AB169" s="81"/>
      <c r="AC169" s="81"/>
      <c r="AD169" s="84" t="s">
        <v>1239</v>
      </c>
      <c r="AE169" s="82">
        <v>1</v>
      </c>
      <c r="AF169" s="83" t="str">
        <f>REPLACE(INDEX(GroupVertices[Group],MATCH(Edges[[#This Row],[Vertex 1]],GroupVertices[Vertex],0)),1,1,"")</f>
        <v>4</v>
      </c>
      <c r="AG169" s="83" t="str">
        <f>REPLACE(INDEX(GroupVertices[Group],MATCH(Edges[[#This Row],[Vertex 2]],GroupVertices[Vertex],0)),1,1,"")</f>
        <v>4</v>
      </c>
      <c r="AH169" s="111">
        <v>0</v>
      </c>
      <c r="AI169" s="112">
        <v>0</v>
      </c>
      <c r="AJ169" s="111">
        <v>0</v>
      </c>
      <c r="AK169" s="112">
        <v>0</v>
      </c>
      <c r="AL169" s="111">
        <v>0</v>
      </c>
      <c r="AM169" s="112">
        <v>0</v>
      </c>
      <c r="AN169" s="111">
        <v>25</v>
      </c>
      <c r="AO169" s="112">
        <v>100</v>
      </c>
      <c r="AP169" s="111">
        <v>25</v>
      </c>
    </row>
    <row r="170" spans="1:42" ht="15">
      <c r="A170" s="65" t="s">
        <v>468</v>
      </c>
      <c r="B170" s="65" t="s">
        <v>467</v>
      </c>
      <c r="C170" s="66" t="s">
        <v>2943</v>
      </c>
      <c r="D170" s="67">
        <v>4.4</v>
      </c>
      <c r="E170" s="68"/>
      <c r="F170" s="69">
        <v>35</v>
      </c>
      <c r="G170" s="66"/>
      <c r="H170" s="70"/>
      <c r="I170" s="71"/>
      <c r="J170" s="71"/>
      <c r="K170" s="35" t="s">
        <v>66</v>
      </c>
      <c r="L170" s="79">
        <v>170</v>
      </c>
      <c r="M170" s="79"/>
      <c r="N170" s="73"/>
      <c r="O170" s="81" t="s">
        <v>564</v>
      </c>
      <c r="P170" s="81" t="s">
        <v>566</v>
      </c>
      <c r="Q170" s="84" t="s">
        <v>731</v>
      </c>
      <c r="R170" s="81" t="s">
        <v>468</v>
      </c>
      <c r="S170" s="81" t="s">
        <v>981</v>
      </c>
      <c r="T170" s="86" t="str">
        <f>HYPERLINK("http://www.youtube.com/channel/UCuyDUN7SDHJd3-UQhX69A9w")</f>
        <v>http://www.youtube.com/channel/UCuyDUN7SDHJd3-UQhX69A9w</v>
      </c>
      <c r="U170" s="81" t="s">
        <v>1066</v>
      </c>
      <c r="V170" s="81" t="s">
        <v>1125</v>
      </c>
      <c r="W170" s="86" t="str">
        <f>HYPERLINK("https://www.youtube.com/watch?v=THdrju-UWjo")</f>
        <v>https://www.youtube.com/watch?v=THdrju-UWjo</v>
      </c>
      <c r="X170" s="81" t="s">
        <v>1183</v>
      </c>
      <c r="Y170" s="81">
        <v>0</v>
      </c>
      <c r="Z170" s="88">
        <v>44414.72994212963</v>
      </c>
      <c r="AA170" s="88">
        <v>44414.72994212963</v>
      </c>
      <c r="AB170" s="81"/>
      <c r="AC170" s="81"/>
      <c r="AD170" s="84" t="s">
        <v>1239</v>
      </c>
      <c r="AE170" s="82">
        <v>2</v>
      </c>
      <c r="AF170" s="83" t="str">
        <f>REPLACE(INDEX(GroupVertices[Group],MATCH(Edges[[#This Row],[Vertex 1]],GroupVertices[Vertex],0)),1,1,"")</f>
        <v>4</v>
      </c>
      <c r="AG170" s="83" t="str">
        <f>REPLACE(INDEX(GroupVertices[Group],MATCH(Edges[[#This Row],[Vertex 2]],GroupVertices[Vertex],0)),1,1,"")</f>
        <v>4</v>
      </c>
      <c r="AH170" s="111">
        <v>1</v>
      </c>
      <c r="AI170" s="112">
        <v>6.666666666666667</v>
      </c>
      <c r="AJ170" s="111">
        <v>0</v>
      </c>
      <c r="AK170" s="112">
        <v>0</v>
      </c>
      <c r="AL170" s="111">
        <v>0</v>
      </c>
      <c r="AM170" s="112">
        <v>0</v>
      </c>
      <c r="AN170" s="111">
        <v>14</v>
      </c>
      <c r="AO170" s="112">
        <v>93.33333333333333</v>
      </c>
      <c r="AP170" s="111">
        <v>15</v>
      </c>
    </row>
    <row r="171" spans="1:42" ht="15">
      <c r="A171" s="65" t="s">
        <v>468</v>
      </c>
      <c r="B171" s="65" t="s">
        <v>467</v>
      </c>
      <c r="C171" s="66" t="s">
        <v>2943</v>
      </c>
      <c r="D171" s="67">
        <v>4.4</v>
      </c>
      <c r="E171" s="68"/>
      <c r="F171" s="69">
        <v>35</v>
      </c>
      <c r="G171" s="66"/>
      <c r="H171" s="70"/>
      <c r="I171" s="71"/>
      <c r="J171" s="71"/>
      <c r="K171" s="35" t="s">
        <v>66</v>
      </c>
      <c r="L171" s="79">
        <v>171</v>
      </c>
      <c r="M171" s="79"/>
      <c r="N171" s="73"/>
      <c r="O171" s="81" t="s">
        <v>564</v>
      </c>
      <c r="P171" s="81" t="s">
        <v>566</v>
      </c>
      <c r="Q171" s="84" t="s">
        <v>732</v>
      </c>
      <c r="R171" s="81" t="s">
        <v>468</v>
      </c>
      <c r="S171" s="81" t="s">
        <v>981</v>
      </c>
      <c r="T171" s="86" t="str">
        <f>HYPERLINK("http://www.youtube.com/channel/UCuyDUN7SDHJd3-UQhX69A9w")</f>
        <v>http://www.youtube.com/channel/UCuyDUN7SDHJd3-UQhX69A9w</v>
      </c>
      <c r="U171" s="81" t="s">
        <v>1066</v>
      </c>
      <c r="V171" s="81" t="s">
        <v>1125</v>
      </c>
      <c r="W171" s="86" t="str">
        <f>HYPERLINK("https://www.youtube.com/watch?v=THdrju-UWjo")</f>
        <v>https://www.youtube.com/watch?v=THdrju-UWjo</v>
      </c>
      <c r="X171" s="81" t="s">
        <v>1183</v>
      </c>
      <c r="Y171" s="81">
        <v>0</v>
      </c>
      <c r="Z171" s="88">
        <v>44475.89703703704</v>
      </c>
      <c r="AA171" s="88">
        <v>44475.89703703704</v>
      </c>
      <c r="AB171" s="81" t="s">
        <v>1199</v>
      </c>
      <c r="AC171" s="81" t="s">
        <v>1231</v>
      </c>
      <c r="AD171" s="84" t="s">
        <v>1239</v>
      </c>
      <c r="AE171" s="82">
        <v>2</v>
      </c>
      <c r="AF171" s="83" t="str">
        <f>REPLACE(INDEX(GroupVertices[Group],MATCH(Edges[[#This Row],[Vertex 1]],GroupVertices[Vertex],0)),1,1,"")</f>
        <v>4</v>
      </c>
      <c r="AG171" s="83" t="str">
        <f>REPLACE(INDEX(GroupVertices[Group],MATCH(Edges[[#This Row],[Vertex 2]],GroupVertices[Vertex],0)),1,1,"")</f>
        <v>4</v>
      </c>
      <c r="AH171" s="111">
        <v>2</v>
      </c>
      <c r="AI171" s="112">
        <v>4</v>
      </c>
      <c r="AJ171" s="111">
        <v>0</v>
      </c>
      <c r="AK171" s="112">
        <v>0</v>
      </c>
      <c r="AL171" s="111">
        <v>0</v>
      </c>
      <c r="AM171" s="112">
        <v>0</v>
      </c>
      <c r="AN171" s="111">
        <v>48</v>
      </c>
      <c r="AO171" s="112">
        <v>96</v>
      </c>
      <c r="AP171" s="111">
        <v>50</v>
      </c>
    </row>
    <row r="172" spans="1:42" ht="15">
      <c r="A172" s="65" t="s">
        <v>467</v>
      </c>
      <c r="B172" s="65" t="s">
        <v>468</v>
      </c>
      <c r="C172" s="66" t="s">
        <v>2942</v>
      </c>
      <c r="D172" s="67">
        <v>3</v>
      </c>
      <c r="E172" s="68"/>
      <c r="F172" s="69">
        <v>40</v>
      </c>
      <c r="G172" s="66"/>
      <c r="H172" s="70"/>
      <c r="I172" s="71"/>
      <c r="J172" s="71"/>
      <c r="K172" s="35" t="s">
        <v>66</v>
      </c>
      <c r="L172" s="79">
        <v>172</v>
      </c>
      <c r="M172" s="79"/>
      <c r="N172" s="73"/>
      <c r="O172" s="81" t="s">
        <v>563</v>
      </c>
      <c r="P172" s="81" t="s">
        <v>325</v>
      </c>
      <c r="Q172" s="84" t="s">
        <v>733</v>
      </c>
      <c r="R172" s="81" t="s">
        <v>467</v>
      </c>
      <c r="S172" s="81" t="s">
        <v>980</v>
      </c>
      <c r="T172" s="86" t="str">
        <f>HYPERLINK("http://www.youtube.com/channel/UCuTRD7EkeDxVFdkdziqGAWA")</f>
        <v>http://www.youtube.com/channel/UCuTRD7EkeDxVFdkdziqGAWA</v>
      </c>
      <c r="U172" s="81"/>
      <c r="V172" s="81" t="s">
        <v>1125</v>
      </c>
      <c r="W172" s="86" t="str">
        <f>HYPERLINK("https://www.youtube.com/watch?v=THdrju-UWjo")</f>
        <v>https://www.youtube.com/watch?v=THdrju-UWjo</v>
      </c>
      <c r="X172" s="81" t="s">
        <v>1183</v>
      </c>
      <c r="Y172" s="81">
        <v>1</v>
      </c>
      <c r="Z172" s="88">
        <v>44399.28820601852</v>
      </c>
      <c r="AA172" s="88">
        <v>44399.28820601852</v>
      </c>
      <c r="AB172" s="81"/>
      <c r="AC172" s="81"/>
      <c r="AD172" s="84" t="s">
        <v>1239</v>
      </c>
      <c r="AE172" s="82">
        <v>1</v>
      </c>
      <c r="AF172" s="83" t="str">
        <f>REPLACE(INDEX(GroupVertices[Group],MATCH(Edges[[#This Row],[Vertex 1]],GroupVertices[Vertex],0)),1,1,"")</f>
        <v>4</v>
      </c>
      <c r="AG172" s="83" t="str">
        <f>REPLACE(INDEX(GroupVertices[Group],MATCH(Edges[[#This Row],[Vertex 2]],GroupVertices[Vertex],0)),1,1,"")</f>
        <v>4</v>
      </c>
      <c r="AH172" s="111">
        <v>0</v>
      </c>
      <c r="AI172" s="112">
        <v>0</v>
      </c>
      <c r="AJ172" s="111">
        <v>0</v>
      </c>
      <c r="AK172" s="112">
        <v>0</v>
      </c>
      <c r="AL172" s="111">
        <v>0</v>
      </c>
      <c r="AM172" s="112">
        <v>0</v>
      </c>
      <c r="AN172" s="111">
        <v>12</v>
      </c>
      <c r="AO172" s="112">
        <v>100</v>
      </c>
      <c r="AP172" s="111">
        <v>12</v>
      </c>
    </row>
    <row r="173" spans="1:42" ht="15">
      <c r="A173" s="65" t="s">
        <v>469</v>
      </c>
      <c r="B173" s="65" t="s">
        <v>468</v>
      </c>
      <c r="C173" s="66" t="s">
        <v>2942</v>
      </c>
      <c r="D173" s="67">
        <v>3</v>
      </c>
      <c r="E173" s="68"/>
      <c r="F173" s="69">
        <v>40</v>
      </c>
      <c r="G173" s="66"/>
      <c r="H173" s="70"/>
      <c r="I173" s="71"/>
      <c r="J173" s="71"/>
      <c r="K173" s="35" t="s">
        <v>65</v>
      </c>
      <c r="L173" s="79">
        <v>173</v>
      </c>
      <c r="M173" s="79"/>
      <c r="N173" s="73"/>
      <c r="O173" s="81" t="s">
        <v>563</v>
      </c>
      <c r="P173" s="81" t="s">
        <v>325</v>
      </c>
      <c r="Q173" s="84" t="s">
        <v>734</v>
      </c>
      <c r="R173" s="81" t="s">
        <v>469</v>
      </c>
      <c r="S173" s="81" t="s">
        <v>982</v>
      </c>
      <c r="T173" s="86" t="str">
        <f>HYPERLINK("http://www.youtube.com/channel/UCJ7JJfGzhW5TZX5Pbsp6XyQ")</f>
        <v>http://www.youtube.com/channel/UCJ7JJfGzhW5TZX5Pbsp6XyQ</v>
      </c>
      <c r="U173" s="81"/>
      <c r="V173" s="81" t="s">
        <v>1125</v>
      </c>
      <c r="W173" s="86" t="str">
        <f>HYPERLINK("https://www.youtube.com/watch?v=THdrju-UWjo")</f>
        <v>https://www.youtube.com/watch?v=THdrju-UWjo</v>
      </c>
      <c r="X173" s="81" t="s">
        <v>1183</v>
      </c>
      <c r="Y173" s="81">
        <v>2</v>
      </c>
      <c r="Z173" s="88">
        <v>44568.279375</v>
      </c>
      <c r="AA173" s="88">
        <v>44568.279375</v>
      </c>
      <c r="AB173" s="81"/>
      <c r="AC173" s="81"/>
      <c r="AD173" s="84" t="s">
        <v>1239</v>
      </c>
      <c r="AE173" s="82">
        <v>1</v>
      </c>
      <c r="AF173" s="83" t="str">
        <f>REPLACE(INDEX(GroupVertices[Group],MATCH(Edges[[#This Row],[Vertex 1]],GroupVertices[Vertex],0)),1,1,"")</f>
        <v>4</v>
      </c>
      <c r="AG173" s="83" t="str">
        <f>REPLACE(INDEX(GroupVertices[Group],MATCH(Edges[[#This Row],[Vertex 2]],GroupVertices[Vertex],0)),1,1,"")</f>
        <v>4</v>
      </c>
      <c r="AH173" s="111">
        <v>3</v>
      </c>
      <c r="AI173" s="112">
        <v>18.75</v>
      </c>
      <c r="AJ173" s="111">
        <v>0</v>
      </c>
      <c r="AK173" s="112">
        <v>0</v>
      </c>
      <c r="AL173" s="111">
        <v>0</v>
      </c>
      <c r="AM173" s="112">
        <v>0</v>
      </c>
      <c r="AN173" s="111">
        <v>13</v>
      </c>
      <c r="AO173" s="112">
        <v>81.25</v>
      </c>
      <c r="AP173" s="111">
        <v>16</v>
      </c>
    </row>
    <row r="174" spans="1:42" ht="15">
      <c r="A174" s="65" t="s">
        <v>470</v>
      </c>
      <c r="B174" s="65" t="s">
        <v>468</v>
      </c>
      <c r="C174" s="66" t="s">
        <v>2942</v>
      </c>
      <c r="D174" s="67">
        <v>3</v>
      </c>
      <c r="E174" s="68"/>
      <c r="F174" s="69">
        <v>40</v>
      </c>
      <c r="G174" s="66"/>
      <c r="H174" s="70"/>
      <c r="I174" s="71"/>
      <c r="J174" s="71"/>
      <c r="K174" s="35" t="s">
        <v>65</v>
      </c>
      <c r="L174" s="79">
        <v>174</v>
      </c>
      <c r="M174" s="79"/>
      <c r="N174" s="73"/>
      <c r="O174" s="81" t="s">
        <v>563</v>
      </c>
      <c r="P174" s="81" t="s">
        <v>325</v>
      </c>
      <c r="Q174" s="84" t="s">
        <v>735</v>
      </c>
      <c r="R174" s="81" t="s">
        <v>470</v>
      </c>
      <c r="S174" s="81" t="s">
        <v>983</v>
      </c>
      <c r="T174" s="86" t="str">
        <f>HYPERLINK("http://www.youtube.com/channel/UCBG9ELVWsYR8H8WS_KGQufQ")</f>
        <v>http://www.youtube.com/channel/UCBG9ELVWsYR8H8WS_KGQufQ</v>
      </c>
      <c r="U174" s="81"/>
      <c r="V174" s="81" t="s">
        <v>1125</v>
      </c>
      <c r="W174" s="86" t="str">
        <f>HYPERLINK("https://www.youtube.com/watch?v=THdrju-UWjo")</f>
        <v>https://www.youtube.com/watch?v=THdrju-UWjo</v>
      </c>
      <c r="X174" s="81" t="s">
        <v>1183</v>
      </c>
      <c r="Y174" s="81">
        <v>0</v>
      </c>
      <c r="Z174" s="88">
        <v>44574.50239583333</v>
      </c>
      <c r="AA174" s="88">
        <v>44574.50239583333</v>
      </c>
      <c r="AB174" s="81"/>
      <c r="AC174" s="81"/>
      <c r="AD174" s="84" t="s">
        <v>1239</v>
      </c>
      <c r="AE174" s="82">
        <v>1</v>
      </c>
      <c r="AF174" s="83" t="str">
        <f>REPLACE(INDEX(GroupVertices[Group],MATCH(Edges[[#This Row],[Vertex 1]],GroupVertices[Vertex],0)),1,1,"")</f>
        <v>4</v>
      </c>
      <c r="AG174" s="83" t="str">
        <f>REPLACE(INDEX(GroupVertices[Group],MATCH(Edges[[#This Row],[Vertex 2]],GroupVertices[Vertex],0)),1,1,"")</f>
        <v>4</v>
      </c>
      <c r="AH174" s="111">
        <v>3</v>
      </c>
      <c r="AI174" s="112">
        <v>42.857142857142854</v>
      </c>
      <c r="AJ174" s="111">
        <v>0</v>
      </c>
      <c r="AK174" s="112">
        <v>0</v>
      </c>
      <c r="AL174" s="111">
        <v>0</v>
      </c>
      <c r="AM174" s="112">
        <v>0</v>
      </c>
      <c r="AN174" s="111">
        <v>4</v>
      </c>
      <c r="AO174" s="112">
        <v>57.142857142857146</v>
      </c>
      <c r="AP174" s="111">
        <v>7</v>
      </c>
    </row>
    <row r="175" spans="1:42" ht="15">
      <c r="A175" s="65" t="s">
        <v>471</v>
      </c>
      <c r="B175" s="65" t="s">
        <v>468</v>
      </c>
      <c r="C175" s="66" t="s">
        <v>2942</v>
      </c>
      <c r="D175" s="67">
        <v>3</v>
      </c>
      <c r="E175" s="68"/>
      <c r="F175" s="69">
        <v>40</v>
      </c>
      <c r="G175" s="66"/>
      <c r="H175" s="70"/>
      <c r="I175" s="71"/>
      <c r="J175" s="71"/>
      <c r="K175" s="35" t="s">
        <v>65</v>
      </c>
      <c r="L175" s="79">
        <v>175</v>
      </c>
      <c r="M175" s="79"/>
      <c r="N175" s="73"/>
      <c r="O175" s="81" t="s">
        <v>563</v>
      </c>
      <c r="P175" s="81" t="s">
        <v>325</v>
      </c>
      <c r="Q175" s="84" t="s">
        <v>736</v>
      </c>
      <c r="R175" s="81" t="s">
        <v>471</v>
      </c>
      <c r="S175" s="81" t="s">
        <v>984</v>
      </c>
      <c r="T175" s="86" t="str">
        <f>HYPERLINK("http://www.youtube.com/channel/UCEPBRv8fyf8zIR1gzyGn8qg")</f>
        <v>http://www.youtube.com/channel/UCEPBRv8fyf8zIR1gzyGn8qg</v>
      </c>
      <c r="U175" s="81"/>
      <c r="V175" s="81" t="s">
        <v>1125</v>
      </c>
      <c r="W175" s="86" t="str">
        <f>HYPERLINK("https://www.youtube.com/watch?v=THdrju-UWjo")</f>
        <v>https://www.youtube.com/watch?v=THdrju-UWjo</v>
      </c>
      <c r="X175" s="81" t="s">
        <v>1183</v>
      </c>
      <c r="Y175" s="81">
        <v>1</v>
      </c>
      <c r="Z175" s="88">
        <v>44663.701527777775</v>
      </c>
      <c r="AA175" s="88">
        <v>44663.701527777775</v>
      </c>
      <c r="AB175" s="81"/>
      <c r="AC175" s="81"/>
      <c r="AD175" s="84" t="s">
        <v>1239</v>
      </c>
      <c r="AE175" s="82">
        <v>1</v>
      </c>
      <c r="AF175" s="83" t="str">
        <f>REPLACE(INDEX(GroupVertices[Group],MATCH(Edges[[#This Row],[Vertex 1]],GroupVertices[Vertex],0)),1,1,"")</f>
        <v>4</v>
      </c>
      <c r="AG175" s="83" t="str">
        <f>REPLACE(INDEX(GroupVertices[Group],MATCH(Edges[[#This Row],[Vertex 2]],GroupVertices[Vertex],0)),1,1,"")</f>
        <v>4</v>
      </c>
      <c r="AH175" s="111">
        <v>2</v>
      </c>
      <c r="AI175" s="112">
        <v>16.666666666666668</v>
      </c>
      <c r="AJ175" s="111">
        <v>0</v>
      </c>
      <c r="AK175" s="112">
        <v>0</v>
      </c>
      <c r="AL175" s="111">
        <v>0</v>
      </c>
      <c r="AM175" s="112">
        <v>0</v>
      </c>
      <c r="AN175" s="111">
        <v>10</v>
      </c>
      <c r="AO175" s="112">
        <v>83.33333333333333</v>
      </c>
      <c r="AP175" s="111">
        <v>12</v>
      </c>
    </row>
    <row r="176" spans="1:42" ht="15">
      <c r="A176" s="65" t="s">
        <v>472</v>
      </c>
      <c r="B176" s="65" t="s">
        <v>369</v>
      </c>
      <c r="C176" s="66" t="s">
        <v>2942</v>
      </c>
      <c r="D176" s="67">
        <v>3</v>
      </c>
      <c r="E176" s="68"/>
      <c r="F176" s="69">
        <v>40</v>
      </c>
      <c r="G176" s="66"/>
      <c r="H176" s="70"/>
      <c r="I176" s="71"/>
      <c r="J176" s="71"/>
      <c r="K176" s="35" t="s">
        <v>65</v>
      </c>
      <c r="L176" s="79">
        <v>176</v>
      </c>
      <c r="M176" s="79"/>
      <c r="N176" s="73"/>
      <c r="O176" s="81" t="s">
        <v>563</v>
      </c>
      <c r="P176" s="81" t="s">
        <v>325</v>
      </c>
      <c r="Q176" s="84" t="s">
        <v>737</v>
      </c>
      <c r="R176" s="81" t="s">
        <v>472</v>
      </c>
      <c r="S176" s="81" t="s">
        <v>985</v>
      </c>
      <c r="T176" s="86" t="str">
        <f>HYPERLINK("http://www.youtube.com/channel/UC4rU9PYja99OHl9qHrP0llQ")</f>
        <v>http://www.youtube.com/channel/UC4rU9PYja99OHl9qHrP0llQ</v>
      </c>
      <c r="U176" s="81"/>
      <c r="V176" s="81" t="s">
        <v>1126</v>
      </c>
      <c r="W176" s="86" t="str">
        <f>HYPERLINK("https://www.youtube.com/watch?v=Gs4NPuKIXdo")</f>
        <v>https://www.youtube.com/watch?v=Gs4NPuKIXdo</v>
      </c>
      <c r="X176" s="81" t="s">
        <v>1183</v>
      </c>
      <c r="Y176" s="81">
        <v>0</v>
      </c>
      <c r="Z176" s="88">
        <v>43158.64579861111</v>
      </c>
      <c r="AA176" s="88">
        <v>43158.64579861111</v>
      </c>
      <c r="AB176" s="81"/>
      <c r="AC176" s="81"/>
      <c r="AD176" s="84" t="s">
        <v>1239</v>
      </c>
      <c r="AE176" s="82">
        <v>1</v>
      </c>
      <c r="AF176" s="83" t="str">
        <f>REPLACE(INDEX(GroupVertices[Group],MATCH(Edges[[#This Row],[Vertex 1]],GroupVertices[Vertex],0)),1,1,"")</f>
        <v>1</v>
      </c>
      <c r="AG176" s="83" t="str">
        <f>REPLACE(INDEX(GroupVertices[Group],MATCH(Edges[[#This Row],[Vertex 2]],GroupVertices[Vertex],0)),1,1,"")</f>
        <v>1</v>
      </c>
      <c r="AH176" s="111">
        <v>1</v>
      </c>
      <c r="AI176" s="112">
        <v>16.666666666666668</v>
      </c>
      <c r="AJ176" s="111">
        <v>0</v>
      </c>
      <c r="AK176" s="112">
        <v>0</v>
      </c>
      <c r="AL176" s="111">
        <v>0</v>
      </c>
      <c r="AM176" s="112">
        <v>0</v>
      </c>
      <c r="AN176" s="111">
        <v>5</v>
      </c>
      <c r="AO176" s="112">
        <v>83.33333333333333</v>
      </c>
      <c r="AP176" s="111">
        <v>6</v>
      </c>
    </row>
    <row r="177" spans="1:42" ht="15">
      <c r="A177" s="65" t="s">
        <v>473</v>
      </c>
      <c r="B177" s="65" t="s">
        <v>369</v>
      </c>
      <c r="C177" s="66" t="s">
        <v>2942</v>
      </c>
      <c r="D177" s="67">
        <v>3</v>
      </c>
      <c r="E177" s="68"/>
      <c r="F177" s="69">
        <v>40</v>
      </c>
      <c r="G177" s="66"/>
      <c r="H177" s="70"/>
      <c r="I177" s="71"/>
      <c r="J177" s="71"/>
      <c r="K177" s="35" t="s">
        <v>65</v>
      </c>
      <c r="L177" s="79">
        <v>177</v>
      </c>
      <c r="M177" s="79"/>
      <c r="N177" s="73"/>
      <c r="O177" s="81" t="s">
        <v>563</v>
      </c>
      <c r="P177" s="81" t="s">
        <v>325</v>
      </c>
      <c r="Q177" s="84" t="s">
        <v>738</v>
      </c>
      <c r="R177" s="81" t="s">
        <v>473</v>
      </c>
      <c r="S177" s="81" t="s">
        <v>986</v>
      </c>
      <c r="T177" s="86" t="str">
        <f>HYPERLINK("http://www.youtube.com/channel/UCybalFNVaTrZPHp-_cPGb8Q")</f>
        <v>http://www.youtube.com/channel/UCybalFNVaTrZPHp-_cPGb8Q</v>
      </c>
      <c r="U177" s="81"/>
      <c r="V177" s="81" t="s">
        <v>1126</v>
      </c>
      <c r="W177" s="86" t="str">
        <f>HYPERLINK("https://www.youtube.com/watch?v=Gs4NPuKIXdo")</f>
        <v>https://www.youtube.com/watch?v=Gs4NPuKIXdo</v>
      </c>
      <c r="X177" s="81" t="s">
        <v>1183</v>
      </c>
      <c r="Y177" s="81">
        <v>0</v>
      </c>
      <c r="Z177" s="88">
        <v>43200.01431712963</v>
      </c>
      <c r="AA177" s="88">
        <v>43200.01431712963</v>
      </c>
      <c r="AB177" s="81"/>
      <c r="AC177" s="81"/>
      <c r="AD177" s="84" t="s">
        <v>1239</v>
      </c>
      <c r="AE177" s="82">
        <v>1</v>
      </c>
      <c r="AF177" s="83" t="str">
        <f>REPLACE(INDEX(GroupVertices[Group],MATCH(Edges[[#This Row],[Vertex 1]],GroupVertices[Vertex],0)),1,1,"")</f>
        <v>1</v>
      </c>
      <c r="AG177" s="83" t="str">
        <f>REPLACE(INDEX(GroupVertices[Group],MATCH(Edges[[#This Row],[Vertex 2]],GroupVertices[Vertex],0)),1,1,"")</f>
        <v>1</v>
      </c>
      <c r="AH177" s="111">
        <v>1</v>
      </c>
      <c r="AI177" s="112">
        <v>10</v>
      </c>
      <c r="AJ177" s="111">
        <v>0</v>
      </c>
      <c r="AK177" s="112">
        <v>0</v>
      </c>
      <c r="AL177" s="111">
        <v>0</v>
      </c>
      <c r="AM177" s="112">
        <v>0</v>
      </c>
      <c r="AN177" s="111">
        <v>9</v>
      </c>
      <c r="AO177" s="112">
        <v>90</v>
      </c>
      <c r="AP177" s="111">
        <v>10</v>
      </c>
    </row>
    <row r="178" spans="1:42" ht="15">
      <c r="A178" s="65" t="s">
        <v>474</v>
      </c>
      <c r="B178" s="65" t="s">
        <v>475</v>
      </c>
      <c r="C178" s="66" t="s">
        <v>2942</v>
      </c>
      <c r="D178" s="67">
        <v>3</v>
      </c>
      <c r="E178" s="68"/>
      <c r="F178" s="69">
        <v>40</v>
      </c>
      <c r="G178" s="66"/>
      <c r="H178" s="70"/>
      <c r="I178" s="71"/>
      <c r="J178" s="71"/>
      <c r="K178" s="35" t="s">
        <v>65</v>
      </c>
      <c r="L178" s="79">
        <v>178</v>
      </c>
      <c r="M178" s="79"/>
      <c r="N178" s="73"/>
      <c r="O178" s="81" t="s">
        <v>564</v>
      </c>
      <c r="P178" s="81" t="s">
        <v>566</v>
      </c>
      <c r="Q178" s="84" t="s">
        <v>739</v>
      </c>
      <c r="R178" s="81" t="s">
        <v>474</v>
      </c>
      <c r="S178" s="81" t="s">
        <v>987</v>
      </c>
      <c r="T178" s="86" t="str">
        <f>HYPERLINK("http://www.youtube.com/channel/UC_8SF2yDQfYFS_B66zwsdDw")</f>
        <v>http://www.youtube.com/channel/UC_8SF2yDQfYFS_B66zwsdDw</v>
      </c>
      <c r="U178" s="81" t="s">
        <v>1068</v>
      </c>
      <c r="V178" s="81" t="s">
        <v>1126</v>
      </c>
      <c r="W178" s="86" t="str">
        <f>HYPERLINK("https://www.youtube.com/watch?v=Gs4NPuKIXdo")</f>
        <v>https://www.youtube.com/watch?v=Gs4NPuKIXdo</v>
      </c>
      <c r="X178" s="81" t="s">
        <v>1183</v>
      </c>
      <c r="Y178" s="81">
        <v>0</v>
      </c>
      <c r="Z178" s="88">
        <v>43576.72046296296</v>
      </c>
      <c r="AA178" s="88">
        <v>43576.72077546296</v>
      </c>
      <c r="AB178" s="81"/>
      <c r="AC178" s="81"/>
      <c r="AD178" s="84" t="s">
        <v>1239</v>
      </c>
      <c r="AE178" s="82">
        <v>1</v>
      </c>
      <c r="AF178" s="83" t="str">
        <f>REPLACE(INDEX(GroupVertices[Group],MATCH(Edges[[#This Row],[Vertex 1]],GroupVertices[Vertex],0)),1,1,"")</f>
        <v>1</v>
      </c>
      <c r="AG178" s="83" t="str">
        <f>REPLACE(INDEX(GroupVertices[Group],MATCH(Edges[[#This Row],[Vertex 2]],GroupVertices[Vertex],0)),1,1,"")</f>
        <v>1</v>
      </c>
      <c r="AH178" s="111">
        <v>0</v>
      </c>
      <c r="AI178" s="112">
        <v>0</v>
      </c>
      <c r="AJ178" s="111">
        <v>0</v>
      </c>
      <c r="AK178" s="112">
        <v>0</v>
      </c>
      <c r="AL178" s="111">
        <v>0</v>
      </c>
      <c r="AM178" s="112">
        <v>0</v>
      </c>
      <c r="AN178" s="111">
        <v>27</v>
      </c>
      <c r="AO178" s="112">
        <v>100</v>
      </c>
      <c r="AP178" s="111">
        <v>27</v>
      </c>
    </row>
    <row r="179" spans="1:42" ht="15">
      <c r="A179" s="65" t="s">
        <v>369</v>
      </c>
      <c r="B179" s="65" t="s">
        <v>475</v>
      </c>
      <c r="C179" s="66" t="s">
        <v>2943</v>
      </c>
      <c r="D179" s="67">
        <v>4.4</v>
      </c>
      <c r="E179" s="68"/>
      <c r="F179" s="69">
        <v>35</v>
      </c>
      <c r="G179" s="66"/>
      <c r="H179" s="70"/>
      <c r="I179" s="71"/>
      <c r="J179" s="71"/>
      <c r="K179" s="35" t="s">
        <v>66</v>
      </c>
      <c r="L179" s="79">
        <v>179</v>
      </c>
      <c r="M179" s="79"/>
      <c r="N179" s="73"/>
      <c r="O179" s="81" t="s">
        <v>564</v>
      </c>
      <c r="P179" s="81" t="s">
        <v>566</v>
      </c>
      <c r="Q179" s="84" t="s">
        <v>740</v>
      </c>
      <c r="R179" s="81" t="s">
        <v>369</v>
      </c>
      <c r="S179" s="81" t="s">
        <v>882</v>
      </c>
      <c r="T179" s="86" t="str">
        <f>HYPERLINK("http://www.youtube.com/channel/UCerAw4EfTOnYYxLLPZAzMxQ")</f>
        <v>http://www.youtube.com/channel/UCerAw4EfTOnYYxLLPZAzMxQ</v>
      </c>
      <c r="U179" s="81" t="s">
        <v>1068</v>
      </c>
      <c r="V179" s="81" t="s">
        <v>1126</v>
      </c>
      <c r="W179" s="86" t="str">
        <f>HYPERLINK("https://www.youtube.com/watch?v=Gs4NPuKIXdo")</f>
        <v>https://www.youtube.com/watch?v=Gs4NPuKIXdo</v>
      </c>
      <c r="X179" s="81" t="s">
        <v>1183</v>
      </c>
      <c r="Y179" s="81">
        <v>0</v>
      </c>
      <c r="Z179" s="88">
        <v>43437.62793981482</v>
      </c>
      <c r="AA179" s="88">
        <v>43437.62793981482</v>
      </c>
      <c r="AB179" s="81" t="s">
        <v>1200</v>
      </c>
      <c r="AC179" s="81" t="s">
        <v>1231</v>
      </c>
      <c r="AD179" s="84" t="s">
        <v>1239</v>
      </c>
      <c r="AE179" s="82">
        <v>2</v>
      </c>
      <c r="AF179" s="83" t="str">
        <f>REPLACE(INDEX(GroupVertices[Group],MATCH(Edges[[#This Row],[Vertex 1]],GroupVertices[Vertex],0)),1,1,"")</f>
        <v>1</v>
      </c>
      <c r="AG179" s="83" t="str">
        <f>REPLACE(INDEX(GroupVertices[Group],MATCH(Edges[[#This Row],[Vertex 2]],GroupVertices[Vertex],0)),1,1,"")</f>
        <v>1</v>
      </c>
      <c r="AH179" s="111">
        <v>0</v>
      </c>
      <c r="AI179" s="112">
        <v>0</v>
      </c>
      <c r="AJ179" s="111">
        <v>0</v>
      </c>
      <c r="AK179" s="112">
        <v>0</v>
      </c>
      <c r="AL179" s="111">
        <v>0</v>
      </c>
      <c r="AM179" s="112">
        <v>0</v>
      </c>
      <c r="AN179" s="111">
        <v>33</v>
      </c>
      <c r="AO179" s="112">
        <v>100</v>
      </c>
      <c r="AP179" s="111">
        <v>33</v>
      </c>
    </row>
    <row r="180" spans="1:42" ht="15">
      <c r="A180" s="65" t="s">
        <v>369</v>
      </c>
      <c r="B180" s="65" t="s">
        <v>475</v>
      </c>
      <c r="C180" s="66" t="s">
        <v>2943</v>
      </c>
      <c r="D180" s="67">
        <v>4.4</v>
      </c>
      <c r="E180" s="68"/>
      <c r="F180" s="69">
        <v>35</v>
      </c>
      <c r="G180" s="66"/>
      <c r="H180" s="70"/>
      <c r="I180" s="71"/>
      <c r="J180" s="71"/>
      <c r="K180" s="35" t="s">
        <v>66</v>
      </c>
      <c r="L180" s="79">
        <v>180</v>
      </c>
      <c r="M180" s="79"/>
      <c r="N180" s="73"/>
      <c r="O180" s="81" t="s">
        <v>564</v>
      </c>
      <c r="P180" s="81" t="s">
        <v>566</v>
      </c>
      <c r="Q180" s="84" t="s">
        <v>741</v>
      </c>
      <c r="R180" s="81" t="s">
        <v>369</v>
      </c>
      <c r="S180" s="81" t="s">
        <v>882</v>
      </c>
      <c r="T180" s="86" t="str">
        <f>HYPERLINK("http://www.youtube.com/channel/UCerAw4EfTOnYYxLLPZAzMxQ")</f>
        <v>http://www.youtube.com/channel/UCerAw4EfTOnYYxLLPZAzMxQ</v>
      </c>
      <c r="U180" s="81" t="s">
        <v>1068</v>
      </c>
      <c r="V180" s="81" t="s">
        <v>1126</v>
      </c>
      <c r="W180" s="86" t="str">
        <f>HYPERLINK("https://www.youtube.com/watch?v=Gs4NPuKIXdo")</f>
        <v>https://www.youtube.com/watch?v=Gs4NPuKIXdo</v>
      </c>
      <c r="X180" s="81" t="s">
        <v>1183</v>
      </c>
      <c r="Y180" s="81">
        <v>0</v>
      </c>
      <c r="Z180" s="88">
        <v>43576.87409722222</v>
      </c>
      <c r="AA180" s="88">
        <v>43576.87409722222</v>
      </c>
      <c r="AB180" s="81" t="s">
        <v>1201</v>
      </c>
      <c r="AC180" s="81" t="s">
        <v>1232</v>
      </c>
      <c r="AD180" s="84" t="s">
        <v>1239</v>
      </c>
      <c r="AE180" s="82">
        <v>2</v>
      </c>
      <c r="AF180" s="83" t="str">
        <f>REPLACE(INDEX(GroupVertices[Group],MATCH(Edges[[#This Row],[Vertex 1]],GroupVertices[Vertex],0)),1,1,"")</f>
        <v>1</v>
      </c>
      <c r="AG180" s="83" t="str">
        <f>REPLACE(INDEX(GroupVertices[Group],MATCH(Edges[[#This Row],[Vertex 2]],GroupVertices[Vertex],0)),1,1,"")</f>
        <v>1</v>
      </c>
      <c r="AH180" s="111">
        <v>2</v>
      </c>
      <c r="AI180" s="112">
        <v>4.444444444444445</v>
      </c>
      <c r="AJ180" s="111">
        <v>0</v>
      </c>
      <c r="AK180" s="112">
        <v>0</v>
      </c>
      <c r="AL180" s="111">
        <v>0</v>
      </c>
      <c r="AM180" s="112">
        <v>0</v>
      </c>
      <c r="AN180" s="111">
        <v>43</v>
      </c>
      <c r="AO180" s="112">
        <v>95.55555555555556</v>
      </c>
      <c r="AP180" s="111">
        <v>45</v>
      </c>
    </row>
    <row r="181" spans="1:42" ht="15">
      <c r="A181" s="65" t="s">
        <v>475</v>
      </c>
      <c r="B181" s="65" t="s">
        <v>369</v>
      </c>
      <c r="C181" s="66" t="s">
        <v>2942</v>
      </c>
      <c r="D181" s="67">
        <v>3</v>
      </c>
      <c r="E181" s="68"/>
      <c r="F181" s="69">
        <v>40</v>
      </c>
      <c r="G181" s="66"/>
      <c r="H181" s="70"/>
      <c r="I181" s="71"/>
      <c r="J181" s="71"/>
      <c r="K181" s="35" t="s">
        <v>66</v>
      </c>
      <c r="L181" s="79">
        <v>181</v>
      </c>
      <c r="M181" s="79"/>
      <c r="N181" s="73"/>
      <c r="O181" s="81" t="s">
        <v>563</v>
      </c>
      <c r="P181" s="81" t="s">
        <v>325</v>
      </c>
      <c r="Q181" s="84" t="s">
        <v>742</v>
      </c>
      <c r="R181" s="81" t="s">
        <v>475</v>
      </c>
      <c r="S181" s="81" t="s">
        <v>988</v>
      </c>
      <c r="T181" s="86" t="str">
        <f>HYPERLINK("http://www.youtube.com/channel/UCVTt3IPhlNu2cae9QyIFZHg")</f>
        <v>http://www.youtube.com/channel/UCVTt3IPhlNu2cae9QyIFZHg</v>
      </c>
      <c r="U181" s="81"/>
      <c r="V181" s="81" t="s">
        <v>1126</v>
      </c>
      <c r="W181" s="86" t="str">
        <f>HYPERLINK("https://www.youtube.com/watch?v=Gs4NPuKIXdo")</f>
        <v>https://www.youtube.com/watch?v=Gs4NPuKIXdo</v>
      </c>
      <c r="X181" s="81" t="s">
        <v>1183</v>
      </c>
      <c r="Y181" s="81">
        <v>0</v>
      </c>
      <c r="Z181" s="88">
        <v>43437.112604166665</v>
      </c>
      <c r="AA181" s="88">
        <v>43437.112604166665</v>
      </c>
      <c r="AB181" s="81"/>
      <c r="AC181" s="81"/>
      <c r="AD181" s="84" t="s">
        <v>1239</v>
      </c>
      <c r="AE181" s="82">
        <v>1</v>
      </c>
      <c r="AF181" s="83" t="str">
        <f>REPLACE(INDEX(GroupVertices[Group],MATCH(Edges[[#This Row],[Vertex 1]],GroupVertices[Vertex],0)),1,1,"")</f>
        <v>1</v>
      </c>
      <c r="AG181" s="83" t="str">
        <f>REPLACE(INDEX(GroupVertices[Group],MATCH(Edges[[#This Row],[Vertex 2]],GroupVertices[Vertex],0)),1,1,"")</f>
        <v>1</v>
      </c>
      <c r="AH181" s="111">
        <v>1</v>
      </c>
      <c r="AI181" s="112">
        <v>7.6923076923076925</v>
      </c>
      <c r="AJ181" s="111">
        <v>0</v>
      </c>
      <c r="AK181" s="112">
        <v>0</v>
      </c>
      <c r="AL181" s="111">
        <v>0</v>
      </c>
      <c r="AM181" s="112">
        <v>0</v>
      </c>
      <c r="AN181" s="111">
        <v>12</v>
      </c>
      <c r="AO181" s="112">
        <v>92.3076923076923</v>
      </c>
      <c r="AP181" s="111">
        <v>13</v>
      </c>
    </row>
    <row r="182" spans="1:42" ht="15">
      <c r="A182" s="65" t="s">
        <v>476</v>
      </c>
      <c r="B182" s="65" t="s">
        <v>369</v>
      </c>
      <c r="C182" s="66" t="s">
        <v>2942</v>
      </c>
      <c r="D182" s="67">
        <v>3</v>
      </c>
      <c r="E182" s="68"/>
      <c r="F182" s="69">
        <v>40</v>
      </c>
      <c r="G182" s="66"/>
      <c r="H182" s="70"/>
      <c r="I182" s="71"/>
      <c r="J182" s="71"/>
      <c r="K182" s="35" t="s">
        <v>65</v>
      </c>
      <c r="L182" s="79">
        <v>182</v>
      </c>
      <c r="M182" s="79"/>
      <c r="N182" s="73"/>
      <c r="O182" s="81" t="s">
        <v>563</v>
      </c>
      <c r="P182" s="81" t="s">
        <v>325</v>
      </c>
      <c r="Q182" s="84" t="s">
        <v>743</v>
      </c>
      <c r="R182" s="81" t="s">
        <v>476</v>
      </c>
      <c r="S182" s="81" t="s">
        <v>989</v>
      </c>
      <c r="T182" s="86" t="str">
        <f>HYPERLINK("http://www.youtube.com/channel/UC5atOZ2cXiS_TcTq8DV2gzQ")</f>
        <v>http://www.youtube.com/channel/UC5atOZ2cXiS_TcTq8DV2gzQ</v>
      </c>
      <c r="U182" s="81"/>
      <c r="V182" s="81" t="s">
        <v>1126</v>
      </c>
      <c r="W182" s="86" t="str">
        <f>HYPERLINK("https://www.youtube.com/watch?v=Gs4NPuKIXdo")</f>
        <v>https://www.youtube.com/watch?v=Gs4NPuKIXdo</v>
      </c>
      <c r="X182" s="81" t="s">
        <v>1183</v>
      </c>
      <c r="Y182" s="81">
        <v>1</v>
      </c>
      <c r="Z182" s="88">
        <v>43600.01267361111</v>
      </c>
      <c r="AA182" s="88">
        <v>43600.01267361111</v>
      </c>
      <c r="AB182" s="81"/>
      <c r="AC182" s="81"/>
      <c r="AD182" s="84" t="s">
        <v>1239</v>
      </c>
      <c r="AE182" s="82">
        <v>1</v>
      </c>
      <c r="AF182" s="83" t="str">
        <f>REPLACE(INDEX(GroupVertices[Group],MATCH(Edges[[#This Row],[Vertex 1]],GroupVertices[Vertex],0)),1,1,"")</f>
        <v>1</v>
      </c>
      <c r="AG182" s="83" t="str">
        <f>REPLACE(INDEX(GroupVertices[Group],MATCH(Edges[[#This Row],[Vertex 2]],GroupVertices[Vertex],0)),1,1,"")</f>
        <v>1</v>
      </c>
      <c r="AH182" s="111">
        <v>2</v>
      </c>
      <c r="AI182" s="112">
        <v>6.896551724137931</v>
      </c>
      <c r="AJ182" s="111">
        <v>0</v>
      </c>
      <c r="AK182" s="112">
        <v>0</v>
      </c>
      <c r="AL182" s="111">
        <v>0</v>
      </c>
      <c r="AM182" s="112">
        <v>0</v>
      </c>
      <c r="AN182" s="111">
        <v>27</v>
      </c>
      <c r="AO182" s="112">
        <v>93.10344827586206</v>
      </c>
      <c r="AP182" s="111">
        <v>29</v>
      </c>
    </row>
    <row r="183" spans="1:42" ht="15">
      <c r="A183" s="65" t="s">
        <v>369</v>
      </c>
      <c r="B183" s="65" t="s">
        <v>477</v>
      </c>
      <c r="C183" s="66" t="s">
        <v>2942</v>
      </c>
      <c r="D183" s="67">
        <v>3</v>
      </c>
      <c r="E183" s="68"/>
      <c r="F183" s="69">
        <v>40</v>
      </c>
      <c r="G183" s="66"/>
      <c r="H183" s="70"/>
      <c r="I183" s="71"/>
      <c r="J183" s="71"/>
      <c r="K183" s="35" t="s">
        <v>66</v>
      </c>
      <c r="L183" s="79">
        <v>183</v>
      </c>
      <c r="M183" s="79"/>
      <c r="N183" s="73"/>
      <c r="O183" s="81" t="s">
        <v>564</v>
      </c>
      <c r="P183" s="81" t="s">
        <v>566</v>
      </c>
      <c r="Q183" s="84" t="s">
        <v>744</v>
      </c>
      <c r="R183" s="81" t="s">
        <v>369</v>
      </c>
      <c r="S183" s="81" t="s">
        <v>882</v>
      </c>
      <c r="T183" s="86" t="str">
        <f>HYPERLINK("http://www.youtube.com/channel/UCerAw4EfTOnYYxLLPZAzMxQ")</f>
        <v>http://www.youtube.com/channel/UCerAw4EfTOnYYxLLPZAzMxQ</v>
      </c>
      <c r="U183" s="81" t="s">
        <v>1069</v>
      </c>
      <c r="V183" s="81" t="s">
        <v>1126</v>
      </c>
      <c r="W183" s="86" t="str">
        <f>HYPERLINK("https://www.youtube.com/watch?v=Gs4NPuKIXdo")</f>
        <v>https://www.youtube.com/watch?v=Gs4NPuKIXdo</v>
      </c>
      <c r="X183" s="81" t="s">
        <v>1183</v>
      </c>
      <c r="Y183" s="81">
        <v>0</v>
      </c>
      <c r="Z183" s="88">
        <v>43967.71869212963</v>
      </c>
      <c r="AA183" s="88">
        <v>43967.71869212963</v>
      </c>
      <c r="AB183" s="81"/>
      <c r="AC183" s="81"/>
      <c r="AD183" s="84" t="s">
        <v>1239</v>
      </c>
      <c r="AE183" s="82">
        <v>1</v>
      </c>
      <c r="AF183" s="83" t="str">
        <f>REPLACE(INDEX(GroupVertices[Group],MATCH(Edges[[#This Row],[Vertex 1]],GroupVertices[Vertex],0)),1,1,"")</f>
        <v>1</v>
      </c>
      <c r="AG183" s="83" t="str">
        <f>REPLACE(INDEX(GroupVertices[Group],MATCH(Edges[[#This Row],[Vertex 2]],GroupVertices[Vertex],0)),1,1,"")</f>
        <v>1</v>
      </c>
      <c r="AH183" s="111">
        <v>9</v>
      </c>
      <c r="AI183" s="112">
        <v>5.590062111801243</v>
      </c>
      <c r="AJ183" s="111">
        <v>3</v>
      </c>
      <c r="AK183" s="112">
        <v>1.8633540372670807</v>
      </c>
      <c r="AL183" s="111">
        <v>0</v>
      </c>
      <c r="AM183" s="112">
        <v>0</v>
      </c>
      <c r="AN183" s="111">
        <v>149</v>
      </c>
      <c r="AO183" s="112">
        <v>92.54658385093168</v>
      </c>
      <c r="AP183" s="111">
        <v>161</v>
      </c>
    </row>
    <row r="184" spans="1:42" ht="15">
      <c r="A184" s="65" t="s">
        <v>477</v>
      </c>
      <c r="B184" s="65" t="s">
        <v>477</v>
      </c>
      <c r="C184" s="66" t="s">
        <v>2942</v>
      </c>
      <c r="D184" s="67">
        <v>3</v>
      </c>
      <c r="E184" s="68"/>
      <c r="F184" s="69">
        <v>40</v>
      </c>
      <c r="G184" s="66"/>
      <c r="H184" s="70"/>
      <c r="I184" s="71"/>
      <c r="J184" s="71"/>
      <c r="K184" s="35" t="s">
        <v>65</v>
      </c>
      <c r="L184" s="79">
        <v>184</v>
      </c>
      <c r="M184" s="79"/>
      <c r="N184" s="73"/>
      <c r="O184" s="81" t="s">
        <v>564</v>
      </c>
      <c r="P184" s="81" t="s">
        <v>566</v>
      </c>
      <c r="Q184" s="84" t="s">
        <v>745</v>
      </c>
      <c r="R184" s="81" t="s">
        <v>477</v>
      </c>
      <c r="S184" s="81" t="s">
        <v>990</v>
      </c>
      <c r="T184" s="86" t="str">
        <f>HYPERLINK("http://www.youtube.com/channel/UCVi7No8pCGF2Ojhz1c_aUZQ")</f>
        <v>http://www.youtube.com/channel/UCVi7No8pCGF2Ojhz1c_aUZQ</v>
      </c>
      <c r="U184" s="81" t="s">
        <v>1069</v>
      </c>
      <c r="V184" s="81" t="s">
        <v>1126</v>
      </c>
      <c r="W184" s="86" t="str">
        <f>HYPERLINK("https://www.youtube.com/watch?v=Gs4NPuKIXdo")</f>
        <v>https://www.youtube.com/watch?v=Gs4NPuKIXdo</v>
      </c>
      <c r="X184" s="81" t="s">
        <v>1183</v>
      </c>
      <c r="Y184" s="81">
        <v>0</v>
      </c>
      <c r="Z184" s="88">
        <v>43967.774409722224</v>
      </c>
      <c r="AA184" s="88">
        <v>43967.774409722224</v>
      </c>
      <c r="AB184" s="81"/>
      <c r="AC184" s="81"/>
      <c r="AD184" s="84" t="s">
        <v>1239</v>
      </c>
      <c r="AE184" s="82">
        <v>1</v>
      </c>
      <c r="AF184" s="83" t="str">
        <f>REPLACE(INDEX(GroupVertices[Group],MATCH(Edges[[#This Row],[Vertex 1]],GroupVertices[Vertex],0)),1,1,"")</f>
        <v>1</v>
      </c>
      <c r="AG184" s="83" t="str">
        <f>REPLACE(INDEX(GroupVertices[Group],MATCH(Edges[[#This Row],[Vertex 2]],GroupVertices[Vertex],0)),1,1,"")</f>
        <v>1</v>
      </c>
      <c r="AH184" s="111">
        <v>1</v>
      </c>
      <c r="AI184" s="112">
        <v>6.25</v>
      </c>
      <c r="AJ184" s="111">
        <v>0</v>
      </c>
      <c r="AK184" s="112">
        <v>0</v>
      </c>
      <c r="AL184" s="111">
        <v>0</v>
      </c>
      <c r="AM184" s="112">
        <v>0</v>
      </c>
      <c r="AN184" s="111">
        <v>15</v>
      </c>
      <c r="AO184" s="112">
        <v>93.75</v>
      </c>
      <c r="AP184" s="111">
        <v>16</v>
      </c>
    </row>
    <row r="185" spans="1:42" ht="15">
      <c r="A185" s="65" t="s">
        <v>477</v>
      </c>
      <c r="B185" s="65" t="s">
        <v>369</v>
      </c>
      <c r="C185" s="66" t="s">
        <v>2942</v>
      </c>
      <c r="D185" s="67">
        <v>3</v>
      </c>
      <c r="E185" s="68"/>
      <c r="F185" s="69">
        <v>40</v>
      </c>
      <c r="G185" s="66"/>
      <c r="H185" s="70"/>
      <c r="I185" s="71"/>
      <c r="J185" s="71"/>
      <c r="K185" s="35" t="s">
        <v>66</v>
      </c>
      <c r="L185" s="79">
        <v>185</v>
      </c>
      <c r="M185" s="79"/>
      <c r="N185" s="73"/>
      <c r="O185" s="81" t="s">
        <v>563</v>
      </c>
      <c r="P185" s="81" t="s">
        <v>325</v>
      </c>
      <c r="Q185" s="84" t="s">
        <v>746</v>
      </c>
      <c r="R185" s="81" t="s">
        <v>477</v>
      </c>
      <c r="S185" s="81" t="s">
        <v>990</v>
      </c>
      <c r="T185" s="86" t="str">
        <f>HYPERLINK("http://www.youtube.com/channel/UCVi7No8pCGF2Ojhz1c_aUZQ")</f>
        <v>http://www.youtube.com/channel/UCVi7No8pCGF2Ojhz1c_aUZQ</v>
      </c>
      <c r="U185" s="81"/>
      <c r="V185" s="81" t="s">
        <v>1126</v>
      </c>
      <c r="W185" s="86" t="str">
        <f>HYPERLINK("https://www.youtube.com/watch?v=Gs4NPuKIXdo")</f>
        <v>https://www.youtube.com/watch?v=Gs4NPuKIXdo</v>
      </c>
      <c r="X185" s="81" t="s">
        <v>1183</v>
      </c>
      <c r="Y185" s="81">
        <v>1</v>
      </c>
      <c r="Z185" s="88">
        <v>43967.23232638889</v>
      </c>
      <c r="AA185" s="88">
        <v>43967.23232638889</v>
      </c>
      <c r="AB185" s="81"/>
      <c r="AC185" s="81"/>
      <c r="AD185" s="84" t="s">
        <v>1239</v>
      </c>
      <c r="AE185" s="82">
        <v>1</v>
      </c>
      <c r="AF185" s="83" t="str">
        <f>REPLACE(INDEX(GroupVertices[Group],MATCH(Edges[[#This Row],[Vertex 1]],GroupVertices[Vertex],0)),1,1,"")</f>
        <v>1</v>
      </c>
      <c r="AG185" s="83" t="str">
        <f>REPLACE(INDEX(GroupVertices[Group],MATCH(Edges[[#This Row],[Vertex 2]],GroupVertices[Vertex],0)),1,1,"")</f>
        <v>1</v>
      </c>
      <c r="AH185" s="111">
        <v>9</v>
      </c>
      <c r="AI185" s="112">
        <v>6.818181818181818</v>
      </c>
      <c r="AJ185" s="111">
        <v>0</v>
      </c>
      <c r="AK185" s="112">
        <v>0</v>
      </c>
      <c r="AL185" s="111">
        <v>0</v>
      </c>
      <c r="AM185" s="112">
        <v>0</v>
      </c>
      <c r="AN185" s="111">
        <v>123</v>
      </c>
      <c r="AO185" s="112">
        <v>93.18181818181819</v>
      </c>
      <c r="AP185" s="111">
        <v>132</v>
      </c>
    </row>
    <row r="186" spans="1:42" ht="15">
      <c r="A186" s="65" t="s">
        <v>478</v>
      </c>
      <c r="B186" s="65" t="s">
        <v>369</v>
      </c>
      <c r="C186" s="66" t="s">
        <v>2942</v>
      </c>
      <c r="D186" s="67">
        <v>3</v>
      </c>
      <c r="E186" s="68"/>
      <c r="F186" s="69">
        <v>40</v>
      </c>
      <c r="G186" s="66"/>
      <c r="H186" s="70"/>
      <c r="I186" s="71"/>
      <c r="J186" s="71"/>
      <c r="K186" s="35" t="s">
        <v>65</v>
      </c>
      <c r="L186" s="79">
        <v>186</v>
      </c>
      <c r="M186" s="79"/>
      <c r="N186" s="73"/>
      <c r="O186" s="81" t="s">
        <v>563</v>
      </c>
      <c r="P186" s="81" t="s">
        <v>325</v>
      </c>
      <c r="Q186" s="84" t="s">
        <v>747</v>
      </c>
      <c r="R186" s="81" t="s">
        <v>478</v>
      </c>
      <c r="S186" s="81" t="s">
        <v>991</v>
      </c>
      <c r="T186" s="86" t="str">
        <f>HYPERLINK("http://www.youtube.com/channel/UCOXSSL56qhApdeIzp6y6b2A")</f>
        <v>http://www.youtube.com/channel/UCOXSSL56qhApdeIzp6y6b2A</v>
      </c>
      <c r="U186" s="81"/>
      <c r="V186" s="81" t="s">
        <v>1127</v>
      </c>
      <c r="W186" s="86" t="str">
        <f>HYPERLINK("https://www.youtube.com/watch?v=zEgrruOITHw")</f>
        <v>https://www.youtube.com/watch?v=zEgrruOITHw</v>
      </c>
      <c r="X186" s="81" t="s">
        <v>1183</v>
      </c>
      <c r="Y186" s="81">
        <v>0</v>
      </c>
      <c r="Z186" s="88">
        <v>43699.91825231481</v>
      </c>
      <c r="AA186" s="88">
        <v>43699.91825231481</v>
      </c>
      <c r="AB186" s="81"/>
      <c r="AC186" s="81"/>
      <c r="AD186" s="84" t="s">
        <v>1239</v>
      </c>
      <c r="AE186" s="82">
        <v>1</v>
      </c>
      <c r="AF186" s="83" t="str">
        <f>REPLACE(INDEX(GroupVertices[Group],MATCH(Edges[[#This Row],[Vertex 1]],GroupVertices[Vertex],0)),1,1,"")</f>
        <v>1</v>
      </c>
      <c r="AG186" s="83" t="str">
        <f>REPLACE(INDEX(GroupVertices[Group],MATCH(Edges[[#This Row],[Vertex 2]],GroupVertices[Vertex],0)),1,1,"")</f>
        <v>1</v>
      </c>
      <c r="AH186" s="111">
        <v>1</v>
      </c>
      <c r="AI186" s="112">
        <v>100</v>
      </c>
      <c r="AJ186" s="111">
        <v>0</v>
      </c>
      <c r="AK186" s="112">
        <v>0</v>
      </c>
      <c r="AL186" s="111">
        <v>0</v>
      </c>
      <c r="AM186" s="112">
        <v>0</v>
      </c>
      <c r="AN186" s="111">
        <v>0</v>
      </c>
      <c r="AO186" s="112">
        <v>0</v>
      </c>
      <c r="AP186" s="111">
        <v>1</v>
      </c>
    </row>
    <row r="187" spans="1:42" ht="15">
      <c r="A187" s="65" t="s">
        <v>369</v>
      </c>
      <c r="B187" s="65" t="s">
        <v>479</v>
      </c>
      <c r="C187" s="66" t="s">
        <v>2942</v>
      </c>
      <c r="D187" s="67">
        <v>3</v>
      </c>
      <c r="E187" s="68"/>
      <c r="F187" s="69">
        <v>40</v>
      </c>
      <c r="G187" s="66"/>
      <c r="H187" s="70"/>
      <c r="I187" s="71"/>
      <c r="J187" s="71"/>
      <c r="K187" s="35" t="s">
        <v>66</v>
      </c>
      <c r="L187" s="79">
        <v>187</v>
      </c>
      <c r="M187" s="79"/>
      <c r="N187" s="73"/>
      <c r="O187" s="81" t="s">
        <v>564</v>
      </c>
      <c r="P187" s="81" t="s">
        <v>566</v>
      </c>
      <c r="Q187" s="84" t="s">
        <v>748</v>
      </c>
      <c r="R187" s="81" t="s">
        <v>369</v>
      </c>
      <c r="S187" s="81" t="s">
        <v>882</v>
      </c>
      <c r="T187" s="86" t="str">
        <f>HYPERLINK("http://www.youtube.com/channel/UCerAw4EfTOnYYxLLPZAzMxQ")</f>
        <v>http://www.youtube.com/channel/UCerAw4EfTOnYYxLLPZAzMxQ</v>
      </c>
      <c r="U187" s="81" t="s">
        <v>1070</v>
      </c>
      <c r="V187" s="81" t="s">
        <v>1127</v>
      </c>
      <c r="W187" s="86" t="str">
        <f>HYPERLINK("https://www.youtube.com/watch?v=zEgrruOITHw")</f>
        <v>https://www.youtube.com/watch?v=zEgrruOITHw</v>
      </c>
      <c r="X187" s="81" t="s">
        <v>1183</v>
      </c>
      <c r="Y187" s="81">
        <v>0</v>
      </c>
      <c r="Z187" s="88">
        <v>43903.79004629629</v>
      </c>
      <c r="AA187" s="88">
        <v>43903.79004629629</v>
      </c>
      <c r="AB187" s="81"/>
      <c r="AC187" s="81"/>
      <c r="AD187" s="84" t="s">
        <v>1239</v>
      </c>
      <c r="AE187" s="82">
        <v>1</v>
      </c>
      <c r="AF187" s="83" t="str">
        <f>REPLACE(INDEX(GroupVertices[Group],MATCH(Edges[[#This Row],[Vertex 1]],GroupVertices[Vertex],0)),1,1,"")</f>
        <v>1</v>
      </c>
      <c r="AG187" s="83" t="str">
        <f>REPLACE(INDEX(GroupVertices[Group],MATCH(Edges[[#This Row],[Vertex 2]],GroupVertices[Vertex],0)),1,1,"")</f>
        <v>1</v>
      </c>
      <c r="AH187" s="111">
        <v>1</v>
      </c>
      <c r="AI187" s="112">
        <v>2.4390243902439024</v>
      </c>
      <c r="AJ187" s="111">
        <v>0</v>
      </c>
      <c r="AK187" s="112">
        <v>0</v>
      </c>
      <c r="AL187" s="111">
        <v>0</v>
      </c>
      <c r="AM187" s="112">
        <v>0</v>
      </c>
      <c r="AN187" s="111">
        <v>40</v>
      </c>
      <c r="AO187" s="112">
        <v>97.5609756097561</v>
      </c>
      <c r="AP187" s="111">
        <v>41</v>
      </c>
    </row>
    <row r="188" spans="1:42" ht="15">
      <c r="A188" s="65" t="s">
        <v>479</v>
      </c>
      <c r="B188" s="65" t="s">
        <v>369</v>
      </c>
      <c r="C188" s="66" t="s">
        <v>2942</v>
      </c>
      <c r="D188" s="67">
        <v>3</v>
      </c>
      <c r="E188" s="68"/>
      <c r="F188" s="69">
        <v>40</v>
      </c>
      <c r="G188" s="66"/>
      <c r="H188" s="70"/>
      <c r="I188" s="71"/>
      <c r="J188" s="71"/>
      <c r="K188" s="35" t="s">
        <v>66</v>
      </c>
      <c r="L188" s="79">
        <v>188</v>
      </c>
      <c r="M188" s="79"/>
      <c r="N188" s="73"/>
      <c r="O188" s="81" t="s">
        <v>563</v>
      </c>
      <c r="P188" s="81" t="s">
        <v>325</v>
      </c>
      <c r="Q188" s="84" t="s">
        <v>749</v>
      </c>
      <c r="R188" s="81" t="s">
        <v>479</v>
      </c>
      <c r="S188" s="81" t="s">
        <v>992</v>
      </c>
      <c r="T188" s="86" t="str">
        <f>HYPERLINK("http://www.youtube.com/channel/UCylMH4anH1qZ3BI7zKmRE7Q")</f>
        <v>http://www.youtube.com/channel/UCylMH4anH1qZ3BI7zKmRE7Q</v>
      </c>
      <c r="U188" s="81"/>
      <c r="V188" s="81" t="s">
        <v>1127</v>
      </c>
      <c r="W188" s="86" t="str">
        <f>HYPERLINK("https://www.youtube.com/watch?v=zEgrruOITHw")</f>
        <v>https://www.youtube.com/watch?v=zEgrruOITHw</v>
      </c>
      <c r="X188" s="81" t="s">
        <v>1183</v>
      </c>
      <c r="Y188" s="81">
        <v>0</v>
      </c>
      <c r="Z188" s="88">
        <v>43903.76861111111</v>
      </c>
      <c r="AA188" s="88">
        <v>43903.76861111111</v>
      </c>
      <c r="AB188" s="81"/>
      <c r="AC188" s="81"/>
      <c r="AD188" s="84" t="s">
        <v>1239</v>
      </c>
      <c r="AE188" s="82">
        <v>1</v>
      </c>
      <c r="AF188" s="83" t="str">
        <f>REPLACE(INDEX(GroupVertices[Group],MATCH(Edges[[#This Row],[Vertex 1]],GroupVertices[Vertex],0)),1,1,"")</f>
        <v>1</v>
      </c>
      <c r="AG188" s="83" t="str">
        <f>REPLACE(INDEX(GroupVertices[Group],MATCH(Edges[[#This Row],[Vertex 2]],GroupVertices[Vertex],0)),1,1,"")</f>
        <v>1</v>
      </c>
      <c r="AH188" s="111">
        <v>2</v>
      </c>
      <c r="AI188" s="112">
        <v>10.526315789473685</v>
      </c>
      <c r="AJ188" s="111">
        <v>0</v>
      </c>
      <c r="AK188" s="112">
        <v>0</v>
      </c>
      <c r="AL188" s="111">
        <v>0</v>
      </c>
      <c r="AM188" s="112">
        <v>0</v>
      </c>
      <c r="AN188" s="111">
        <v>17</v>
      </c>
      <c r="AO188" s="112">
        <v>89.47368421052632</v>
      </c>
      <c r="AP188" s="111">
        <v>19</v>
      </c>
    </row>
    <row r="189" spans="1:42" ht="15">
      <c r="A189" s="65" t="s">
        <v>480</v>
      </c>
      <c r="B189" s="65" t="s">
        <v>369</v>
      </c>
      <c r="C189" s="66" t="s">
        <v>2942</v>
      </c>
      <c r="D189" s="67">
        <v>3</v>
      </c>
      <c r="E189" s="68"/>
      <c r="F189" s="69">
        <v>40</v>
      </c>
      <c r="G189" s="66"/>
      <c r="H189" s="70"/>
      <c r="I189" s="71"/>
      <c r="J189" s="71"/>
      <c r="K189" s="35" t="s">
        <v>65</v>
      </c>
      <c r="L189" s="79">
        <v>189</v>
      </c>
      <c r="M189" s="79"/>
      <c r="N189" s="73"/>
      <c r="O189" s="81" t="s">
        <v>563</v>
      </c>
      <c r="P189" s="81" t="s">
        <v>325</v>
      </c>
      <c r="Q189" s="84" t="s">
        <v>750</v>
      </c>
      <c r="R189" s="81" t="s">
        <v>480</v>
      </c>
      <c r="S189" s="81" t="s">
        <v>993</v>
      </c>
      <c r="T189" s="86" t="str">
        <f>HYPERLINK("http://www.youtube.com/channel/UCngfwdBt4V8gv-d14tu20HQ")</f>
        <v>http://www.youtube.com/channel/UCngfwdBt4V8gv-d14tu20HQ</v>
      </c>
      <c r="U189" s="81"/>
      <c r="V189" s="81" t="s">
        <v>1127</v>
      </c>
      <c r="W189" s="86" t="str">
        <f>HYPERLINK("https://www.youtube.com/watch?v=zEgrruOITHw")</f>
        <v>https://www.youtube.com/watch?v=zEgrruOITHw</v>
      </c>
      <c r="X189" s="81" t="s">
        <v>1183</v>
      </c>
      <c r="Y189" s="81">
        <v>1</v>
      </c>
      <c r="Z189" s="88">
        <v>44323.09097222222</v>
      </c>
      <c r="AA189" s="88">
        <v>44323.09097222222</v>
      </c>
      <c r="AB189" s="81"/>
      <c r="AC189" s="81"/>
      <c r="AD189" s="84" t="s">
        <v>1239</v>
      </c>
      <c r="AE189" s="82">
        <v>1</v>
      </c>
      <c r="AF189" s="83" t="str">
        <f>REPLACE(INDEX(GroupVertices[Group],MATCH(Edges[[#This Row],[Vertex 1]],GroupVertices[Vertex],0)),1,1,"")</f>
        <v>1</v>
      </c>
      <c r="AG189" s="83" t="str">
        <f>REPLACE(INDEX(GroupVertices[Group],MATCH(Edges[[#This Row],[Vertex 2]],GroupVertices[Vertex],0)),1,1,"")</f>
        <v>1</v>
      </c>
      <c r="AH189" s="111">
        <v>1</v>
      </c>
      <c r="AI189" s="112">
        <v>33.333333333333336</v>
      </c>
      <c r="AJ189" s="111">
        <v>0</v>
      </c>
      <c r="AK189" s="112">
        <v>0</v>
      </c>
      <c r="AL189" s="111">
        <v>0</v>
      </c>
      <c r="AM189" s="112">
        <v>0</v>
      </c>
      <c r="AN189" s="111">
        <v>2</v>
      </c>
      <c r="AO189" s="112">
        <v>66.66666666666667</v>
      </c>
      <c r="AP189" s="111">
        <v>3</v>
      </c>
    </row>
    <row r="190" spans="1:42" ht="15">
      <c r="A190" s="65" t="s">
        <v>481</v>
      </c>
      <c r="B190" s="65" t="s">
        <v>369</v>
      </c>
      <c r="C190" s="66" t="s">
        <v>2942</v>
      </c>
      <c r="D190" s="67">
        <v>3</v>
      </c>
      <c r="E190" s="68"/>
      <c r="F190" s="69">
        <v>40</v>
      </c>
      <c r="G190" s="66"/>
      <c r="H190" s="70"/>
      <c r="I190" s="71"/>
      <c r="J190" s="71"/>
      <c r="K190" s="35" t="s">
        <v>65</v>
      </c>
      <c r="L190" s="79">
        <v>190</v>
      </c>
      <c r="M190" s="79"/>
      <c r="N190" s="73"/>
      <c r="O190" s="81" t="s">
        <v>563</v>
      </c>
      <c r="P190" s="81" t="s">
        <v>325</v>
      </c>
      <c r="Q190" s="84" t="s">
        <v>751</v>
      </c>
      <c r="R190" s="81" t="s">
        <v>481</v>
      </c>
      <c r="S190" s="81" t="s">
        <v>994</v>
      </c>
      <c r="T190" s="86" t="str">
        <f>HYPERLINK("http://www.youtube.com/channel/UCCwa-poBFGXBJL1OhOSf1wQ")</f>
        <v>http://www.youtube.com/channel/UCCwa-poBFGXBJL1OhOSf1wQ</v>
      </c>
      <c r="U190" s="81"/>
      <c r="V190" s="81" t="s">
        <v>1127</v>
      </c>
      <c r="W190" s="86" t="str">
        <f>HYPERLINK("https://www.youtube.com/watch?v=zEgrruOITHw")</f>
        <v>https://www.youtube.com/watch?v=zEgrruOITHw</v>
      </c>
      <c r="X190" s="81" t="s">
        <v>1183</v>
      </c>
      <c r="Y190" s="81">
        <v>0</v>
      </c>
      <c r="Z190" s="88">
        <v>44700.50105324074</v>
      </c>
      <c r="AA190" s="88">
        <v>44700.50105324074</v>
      </c>
      <c r="AB190" s="81"/>
      <c r="AC190" s="81"/>
      <c r="AD190" s="84" t="s">
        <v>1239</v>
      </c>
      <c r="AE190" s="82">
        <v>1</v>
      </c>
      <c r="AF190" s="83" t="str">
        <f>REPLACE(INDEX(GroupVertices[Group],MATCH(Edges[[#This Row],[Vertex 1]],GroupVertices[Vertex],0)),1,1,"")</f>
        <v>1</v>
      </c>
      <c r="AG190" s="83" t="str">
        <f>REPLACE(INDEX(GroupVertices[Group],MATCH(Edges[[#This Row],[Vertex 2]],GroupVertices[Vertex],0)),1,1,"")</f>
        <v>1</v>
      </c>
      <c r="AH190" s="111">
        <v>0</v>
      </c>
      <c r="AI190" s="112">
        <v>0</v>
      </c>
      <c r="AJ190" s="111">
        <v>0</v>
      </c>
      <c r="AK190" s="112">
        <v>0</v>
      </c>
      <c r="AL190" s="111">
        <v>0</v>
      </c>
      <c r="AM190" s="112">
        <v>0</v>
      </c>
      <c r="AN190" s="111">
        <v>10</v>
      </c>
      <c r="AO190" s="112">
        <v>100</v>
      </c>
      <c r="AP190" s="111">
        <v>10</v>
      </c>
    </row>
    <row r="191" spans="1:42" ht="15">
      <c r="A191" s="65" t="s">
        <v>482</v>
      </c>
      <c r="B191" s="65" t="s">
        <v>369</v>
      </c>
      <c r="C191" s="66" t="s">
        <v>2942</v>
      </c>
      <c r="D191" s="67">
        <v>3</v>
      </c>
      <c r="E191" s="68"/>
      <c r="F191" s="69">
        <v>40</v>
      </c>
      <c r="G191" s="66"/>
      <c r="H191" s="70"/>
      <c r="I191" s="71"/>
      <c r="J191" s="71"/>
      <c r="K191" s="35" t="s">
        <v>65</v>
      </c>
      <c r="L191" s="79">
        <v>191</v>
      </c>
      <c r="M191" s="79"/>
      <c r="N191" s="73"/>
      <c r="O191" s="81" t="s">
        <v>563</v>
      </c>
      <c r="P191" s="81" t="s">
        <v>325</v>
      </c>
      <c r="Q191" s="84" t="s">
        <v>752</v>
      </c>
      <c r="R191" s="81" t="s">
        <v>482</v>
      </c>
      <c r="S191" s="81" t="s">
        <v>995</v>
      </c>
      <c r="T191" s="86" t="str">
        <f>HYPERLINK("http://www.youtube.com/channel/UClPlgNc4dpa-ymND_dWE-9w")</f>
        <v>http://www.youtube.com/channel/UClPlgNc4dpa-ymND_dWE-9w</v>
      </c>
      <c r="U191" s="81"/>
      <c r="V191" s="81" t="s">
        <v>1128</v>
      </c>
      <c r="W191" s="86" t="str">
        <f>HYPERLINK("https://www.youtube.com/watch?v=PC-PgkhpsNc")</f>
        <v>https://www.youtube.com/watch?v=PC-PgkhpsNc</v>
      </c>
      <c r="X191" s="81" t="s">
        <v>1183</v>
      </c>
      <c r="Y191" s="81">
        <v>1</v>
      </c>
      <c r="Z191" s="88">
        <v>41587.80935185185</v>
      </c>
      <c r="AA191" s="88">
        <v>41587.80935185185</v>
      </c>
      <c r="AB191" s="81"/>
      <c r="AC191" s="81"/>
      <c r="AD191" s="84" t="s">
        <v>1239</v>
      </c>
      <c r="AE191" s="82">
        <v>1</v>
      </c>
      <c r="AF191" s="83" t="str">
        <f>REPLACE(INDEX(GroupVertices[Group],MATCH(Edges[[#This Row],[Vertex 1]],GroupVertices[Vertex],0)),1,1,"")</f>
        <v>1</v>
      </c>
      <c r="AG191" s="83" t="str">
        <f>REPLACE(INDEX(GroupVertices[Group],MATCH(Edges[[#This Row],[Vertex 2]],GroupVertices[Vertex],0)),1,1,"")</f>
        <v>1</v>
      </c>
      <c r="AH191" s="111">
        <v>6</v>
      </c>
      <c r="AI191" s="112">
        <v>7.792207792207792</v>
      </c>
      <c r="AJ191" s="111">
        <v>0</v>
      </c>
      <c r="AK191" s="112">
        <v>0</v>
      </c>
      <c r="AL191" s="111">
        <v>0</v>
      </c>
      <c r="AM191" s="112">
        <v>0</v>
      </c>
      <c r="AN191" s="111">
        <v>71</v>
      </c>
      <c r="AO191" s="112">
        <v>92.20779220779221</v>
      </c>
      <c r="AP191" s="111">
        <v>77</v>
      </c>
    </row>
    <row r="192" spans="1:42" ht="15">
      <c r="A192" s="65" t="s">
        <v>369</v>
      </c>
      <c r="B192" s="65" t="s">
        <v>483</v>
      </c>
      <c r="C192" s="66" t="s">
        <v>2943</v>
      </c>
      <c r="D192" s="67">
        <v>4.4</v>
      </c>
      <c r="E192" s="68"/>
      <c r="F192" s="69">
        <v>35</v>
      </c>
      <c r="G192" s="66"/>
      <c r="H192" s="70"/>
      <c r="I192" s="71"/>
      <c r="J192" s="71"/>
      <c r="K192" s="35" t="s">
        <v>66</v>
      </c>
      <c r="L192" s="79">
        <v>192</v>
      </c>
      <c r="M192" s="79"/>
      <c r="N192" s="73"/>
      <c r="O192" s="81" t="s">
        <v>564</v>
      </c>
      <c r="P192" s="81" t="s">
        <v>566</v>
      </c>
      <c r="Q192" s="84" t="s">
        <v>753</v>
      </c>
      <c r="R192" s="81" t="s">
        <v>369</v>
      </c>
      <c r="S192" s="81" t="s">
        <v>882</v>
      </c>
      <c r="T192" s="86" t="str">
        <f>HYPERLINK("http://www.youtube.com/channel/UCerAw4EfTOnYYxLLPZAzMxQ")</f>
        <v>http://www.youtube.com/channel/UCerAw4EfTOnYYxLLPZAzMxQ</v>
      </c>
      <c r="U192" s="81" t="s">
        <v>1071</v>
      </c>
      <c r="V192" s="81" t="s">
        <v>1097</v>
      </c>
      <c r="W192" s="86" t="str">
        <f>HYPERLINK("https://www.youtube.com/watch?v=vp7VXgvVAPg")</f>
        <v>https://www.youtube.com/watch?v=vp7VXgvVAPg</v>
      </c>
      <c r="X192" s="81" t="s">
        <v>1183</v>
      </c>
      <c r="Y192" s="81">
        <v>1</v>
      </c>
      <c r="Z192" s="88">
        <v>41735.85836805555</v>
      </c>
      <c r="AA192" s="88">
        <v>41735.85836805555</v>
      </c>
      <c r="AB192" s="81"/>
      <c r="AC192" s="81"/>
      <c r="AD192" s="84" t="s">
        <v>1239</v>
      </c>
      <c r="AE192" s="82">
        <v>2</v>
      </c>
      <c r="AF192" s="83" t="str">
        <f>REPLACE(INDEX(GroupVertices[Group],MATCH(Edges[[#This Row],[Vertex 1]],GroupVertices[Vertex],0)),1,1,"")</f>
        <v>1</v>
      </c>
      <c r="AG192" s="83" t="str">
        <f>REPLACE(INDEX(GroupVertices[Group],MATCH(Edges[[#This Row],[Vertex 2]],GroupVertices[Vertex],0)),1,1,"")</f>
        <v>3</v>
      </c>
      <c r="AH192" s="111">
        <v>2</v>
      </c>
      <c r="AI192" s="112">
        <v>3.7735849056603774</v>
      </c>
      <c r="AJ192" s="111">
        <v>1</v>
      </c>
      <c r="AK192" s="112">
        <v>1.8867924528301887</v>
      </c>
      <c r="AL192" s="111">
        <v>0</v>
      </c>
      <c r="AM192" s="112">
        <v>0</v>
      </c>
      <c r="AN192" s="111">
        <v>50</v>
      </c>
      <c r="AO192" s="112">
        <v>94.33962264150944</v>
      </c>
      <c r="AP192" s="111">
        <v>53</v>
      </c>
    </row>
    <row r="193" spans="1:42" ht="15">
      <c r="A193" s="65" t="s">
        <v>483</v>
      </c>
      <c r="B193" s="65" t="s">
        <v>369</v>
      </c>
      <c r="C193" s="66" t="s">
        <v>2943</v>
      </c>
      <c r="D193" s="67">
        <v>4.4</v>
      </c>
      <c r="E193" s="68"/>
      <c r="F193" s="69">
        <v>35</v>
      </c>
      <c r="G193" s="66"/>
      <c r="H193" s="70"/>
      <c r="I193" s="71"/>
      <c r="J193" s="71"/>
      <c r="K193" s="35" t="s">
        <v>66</v>
      </c>
      <c r="L193" s="79">
        <v>193</v>
      </c>
      <c r="M193" s="79"/>
      <c r="N193" s="73"/>
      <c r="O193" s="81" t="s">
        <v>563</v>
      </c>
      <c r="P193" s="81" t="s">
        <v>325</v>
      </c>
      <c r="Q193" s="84" t="s">
        <v>754</v>
      </c>
      <c r="R193" s="81" t="s">
        <v>483</v>
      </c>
      <c r="S193" s="81" t="s">
        <v>996</v>
      </c>
      <c r="T193" s="86" t="str">
        <f>HYPERLINK("http://www.youtube.com/channel/UC7V-eKD4-9qacoIOSfjCkvQ")</f>
        <v>http://www.youtube.com/channel/UC7V-eKD4-9qacoIOSfjCkvQ</v>
      </c>
      <c r="U193" s="81"/>
      <c r="V193" s="81" t="s">
        <v>1097</v>
      </c>
      <c r="W193" s="86" t="str">
        <f>HYPERLINK("https://www.youtube.com/watch?v=vp7VXgvVAPg")</f>
        <v>https://www.youtube.com/watch?v=vp7VXgvVAPg</v>
      </c>
      <c r="X193" s="81" t="s">
        <v>1183</v>
      </c>
      <c r="Y193" s="81">
        <v>0</v>
      </c>
      <c r="Z193" s="88">
        <v>41733.665555555555</v>
      </c>
      <c r="AA193" s="88">
        <v>41733.665555555555</v>
      </c>
      <c r="AB193" s="81" t="s">
        <v>1202</v>
      </c>
      <c r="AC193" s="81" t="s">
        <v>1220</v>
      </c>
      <c r="AD193" s="84" t="s">
        <v>1239</v>
      </c>
      <c r="AE193" s="82">
        <v>2</v>
      </c>
      <c r="AF193" s="83" t="str">
        <f>REPLACE(INDEX(GroupVertices[Group],MATCH(Edges[[#This Row],[Vertex 1]],GroupVertices[Vertex],0)),1,1,"")</f>
        <v>3</v>
      </c>
      <c r="AG193" s="83" t="str">
        <f>REPLACE(INDEX(GroupVertices[Group],MATCH(Edges[[#This Row],[Vertex 2]],GroupVertices[Vertex],0)),1,1,"")</f>
        <v>1</v>
      </c>
      <c r="AH193" s="111">
        <v>1</v>
      </c>
      <c r="AI193" s="112">
        <v>0.8849557522123894</v>
      </c>
      <c r="AJ193" s="111">
        <v>1</v>
      </c>
      <c r="AK193" s="112">
        <v>0.8849557522123894</v>
      </c>
      <c r="AL193" s="111">
        <v>0</v>
      </c>
      <c r="AM193" s="112">
        <v>0</v>
      </c>
      <c r="AN193" s="111">
        <v>111</v>
      </c>
      <c r="AO193" s="112">
        <v>98.23008849557522</v>
      </c>
      <c r="AP193" s="111">
        <v>113</v>
      </c>
    </row>
    <row r="194" spans="1:42" ht="15">
      <c r="A194" s="65" t="s">
        <v>483</v>
      </c>
      <c r="B194" s="65" t="s">
        <v>553</v>
      </c>
      <c r="C194" s="66" t="s">
        <v>2942</v>
      </c>
      <c r="D194" s="67">
        <v>3</v>
      </c>
      <c r="E194" s="68"/>
      <c r="F194" s="69">
        <v>40</v>
      </c>
      <c r="G194" s="66"/>
      <c r="H194" s="70"/>
      <c r="I194" s="71"/>
      <c r="J194" s="71"/>
      <c r="K194" s="35" t="s">
        <v>65</v>
      </c>
      <c r="L194" s="79">
        <v>194</v>
      </c>
      <c r="M194" s="79"/>
      <c r="N194" s="73"/>
      <c r="O194" s="81" t="s">
        <v>563</v>
      </c>
      <c r="P194" s="81" t="s">
        <v>325</v>
      </c>
      <c r="Q194" s="84" t="s">
        <v>755</v>
      </c>
      <c r="R194" s="81" t="s">
        <v>483</v>
      </c>
      <c r="S194" s="81" t="s">
        <v>996</v>
      </c>
      <c r="T194" s="86" t="str">
        <f>HYPERLINK("http://www.youtube.com/channel/UC7V-eKD4-9qacoIOSfjCkvQ")</f>
        <v>http://www.youtube.com/channel/UC7V-eKD4-9qacoIOSfjCkvQ</v>
      </c>
      <c r="U194" s="81"/>
      <c r="V194" s="81" t="s">
        <v>1129</v>
      </c>
      <c r="W194" s="86" t="str">
        <f>HYPERLINK("https://www.youtube.com/watch?v=DfVp1zDYNLg")</f>
        <v>https://www.youtube.com/watch?v=DfVp1zDYNLg</v>
      </c>
      <c r="X194" s="81" t="s">
        <v>1183</v>
      </c>
      <c r="Y194" s="81">
        <v>0</v>
      </c>
      <c r="Z194" s="88">
        <v>41733.65458333334</v>
      </c>
      <c r="AA194" s="88">
        <v>41733.65458333334</v>
      </c>
      <c r="AB194" s="81" t="s">
        <v>1203</v>
      </c>
      <c r="AC194" s="81" t="s">
        <v>1233</v>
      </c>
      <c r="AD194" s="84" t="s">
        <v>1239</v>
      </c>
      <c r="AE194" s="82">
        <v>1</v>
      </c>
      <c r="AF194" s="83" t="str">
        <f>REPLACE(INDEX(GroupVertices[Group],MATCH(Edges[[#This Row],[Vertex 1]],GroupVertices[Vertex],0)),1,1,"")</f>
        <v>3</v>
      </c>
      <c r="AG194" s="83" t="str">
        <f>REPLACE(INDEX(GroupVertices[Group],MATCH(Edges[[#This Row],[Vertex 2]],GroupVertices[Vertex],0)),1,1,"")</f>
        <v>3</v>
      </c>
      <c r="AH194" s="111">
        <v>2</v>
      </c>
      <c r="AI194" s="112">
        <v>2.5</v>
      </c>
      <c r="AJ194" s="111">
        <v>1</v>
      </c>
      <c r="AK194" s="112">
        <v>1.25</v>
      </c>
      <c r="AL194" s="111">
        <v>0</v>
      </c>
      <c r="AM194" s="112">
        <v>0</v>
      </c>
      <c r="AN194" s="111">
        <v>77</v>
      </c>
      <c r="AO194" s="112">
        <v>96.25</v>
      </c>
      <c r="AP194" s="111">
        <v>80</v>
      </c>
    </row>
    <row r="195" spans="1:42" ht="15">
      <c r="A195" s="65" t="s">
        <v>369</v>
      </c>
      <c r="B195" s="65" t="s">
        <v>483</v>
      </c>
      <c r="C195" s="66" t="s">
        <v>2943</v>
      </c>
      <c r="D195" s="67">
        <v>4.4</v>
      </c>
      <c r="E195" s="68"/>
      <c r="F195" s="69">
        <v>35</v>
      </c>
      <c r="G195" s="66"/>
      <c r="H195" s="70"/>
      <c r="I195" s="71"/>
      <c r="J195" s="71"/>
      <c r="K195" s="35" t="s">
        <v>66</v>
      </c>
      <c r="L195" s="79">
        <v>195</v>
      </c>
      <c r="M195" s="79"/>
      <c r="N195" s="73"/>
      <c r="O195" s="81" t="s">
        <v>564</v>
      </c>
      <c r="P195" s="81" t="s">
        <v>566</v>
      </c>
      <c r="Q195" s="84" t="s">
        <v>756</v>
      </c>
      <c r="R195" s="81" t="s">
        <v>369</v>
      </c>
      <c r="S195" s="81" t="s">
        <v>882</v>
      </c>
      <c r="T195" s="86" t="str">
        <f>HYPERLINK("http://www.youtube.com/channel/UCerAw4EfTOnYYxLLPZAzMxQ")</f>
        <v>http://www.youtube.com/channel/UCerAw4EfTOnYYxLLPZAzMxQ</v>
      </c>
      <c r="U195" s="81" t="s">
        <v>1072</v>
      </c>
      <c r="V195" s="81" t="s">
        <v>1128</v>
      </c>
      <c r="W195" s="86" t="str">
        <f>HYPERLINK("https://www.youtube.com/watch?v=PC-PgkhpsNc")</f>
        <v>https://www.youtube.com/watch?v=PC-PgkhpsNc</v>
      </c>
      <c r="X195" s="81" t="s">
        <v>1183</v>
      </c>
      <c r="Y195" s="81">
        <v>0</v>
      </c>
      <c r="Z195" s="88">
        <v>41736.09599537037</v>
      </c>
      <c r="AA195" s="88">
        <v>41736.09599537037</v>
      </c>
      <c r="AB195" s="81"/>
      <c r="AC195" s="81"/>
      <c r="AD195" s="84" t="s">
        <v>1239</v>
      </c>
      <c r="AE195" s="82">
        <v>2</v>
      </c>
      <c r="AF195" s="83" t="str">
        <f>REPLACE(INDEX(GroupVertices[Group],MATCH(Edges[[#This Row],[Vertex 1]],GroupVertices[Vertex],0)),1,1,"")</f>
        <v>1</v>
      </c>
      <c r="AG195" s="83" t="str">
        <f>REPLACE(INDEX(GroupVertices[Group],MATCH(Edges[[#This Row],[Vertex 2]],GroupVertices[Vertex],0)),1,1,"")</f>
        <v>3</v>
      </c>
      <c r="AH195" s="111">
        <v>0</v>
      </c>
      <c r="AI195" s="112">
        <v>0</v>
      </c>
      <c r="AJ195" s="111">
        <v>2</v>
      </c>
      <c r="AK195" s="112">
        <v>2.5316455696202533</v>
      </c>
      <c r="AL195" s="111">
        <v>0</v>
      </c>
      <c r="AM195" s="112">
        <v>0</v>
      </c>
      <c r="AN195" s="111">
        <v>77</v>
      </c>
      <c r="AO195" s="112">
        <v>97.46835443037975</v>
      </c>
      <c r="AP195" s="111">
        <v>79</v>
      </c>
    </row>
    <row r="196" spans="1:42" ht="15">
      <c r="A196" s="65" t="s">
        <v>483</v>
      </c>
      <c r="B196" s="65" t="s">
        <v>369</v>
      </c>
      <c r="C196" s="66" t="s">
        <v>2943</v>
      </c>
      <c r="D196" s="67">
        <v>4.4</v>
      </c>
      <c r="E196" s="68"/>
      <c r="F196" s="69">
        <v>35</v>
      </c>
      <c r="G196" s="66"/>
      <c r="H196" s="70"/>
      <c r="I196" s="71"/>
      <c r="J196" s="71"/>
      <c r="K196" s="35" t="s">
        <v>66</v>
      </c>
      <c r="L196" s="79">
        <v>196</v>
      </c>
      <c r="M196" s="79"/>
      <c r="N196" s="73"/>
      <c r="O196" s="81" t="s">
        <v>563</v>
      </c>
      <c r="P196" s="81" t="s">
        <v>325</v>
      </c>
      <c r="Q196" s="84" t="s">
        <v>757</v>
      </c>
      <c r="R196" s="81" t="s">
        <v>483</v>
      </c>
      <c r="S196" s="81" t="s">
        <v>996</v>
      </c>
      <c r="T196" s="86" t="str">
        <f>HYPERLINK("http://www.youtube.com/channel/UC7V-eKD4-9qacoIOSfjCkvQ")</f>
        <v>http://www.youtube.com/channel/UC7V-eKD4-9qacoIOSfjCkvQ</v>
      </c>
      <c r="U196" s="81"/>
      <c r="V196" s="81" t="s">
        <v>1128</v>
      </c>
      <c r="W196" s="86" t="str">
        <f>HYPERLINK("https://www.youtube.com/watch?v=PC-PgkhpsNc")</f>
        <v>https://www.youtube.com/watch?v=PC-PgkhpsNc</v>
      </c>
      <c r="X196" s="81" t="s">
        <v>1183</v>
      </c>
      <c r="Y196" s="81">
        <v>0</v>
      </c>
      <c r="Z196" s="88">
        <v>41733.65325231481</v>
      </c>
      <c r="AA196" s="88">
        <v>41733.65325231481</v>
      </c>
      <c r="AB196" s="81" t="s">
        <v>1203</v>
      </c>
      <c r="AC196" s="81" t="s">
        <v>1233</v>
      </c>
      <c r="AD196" s="84" t="s">
        <v>1239</v>
      </c>
      <c r="AE196" s="82">
        <v>2</v>
      </c>
      <c r="AF196" s="83" t="str">
        <f>REPLACE(INDEX(GroupVertices[Group],MATCH(Edges[[#This Row],[Vertex 1]],GroupVertices[Vertex],0)),1,1,"")</f>
        <v>3</v>
      </c>
      <c r="AG196" s="83" t="str">
        <f>REPLACE(INDEX(GroupVertices[Group],MATCH(Edges[[#This Row],[Vertex 2]],GroupVertices[Vertex],0)),1,1,"")</f>
        <v>1</v>
      </c>
      <c r="AH196" s="111">
        <v>2</v>
      </c>
      <c r="AI196" s="112">
        <v>2.5</v>
      </c>
      <c r="AJ196" s="111">
        <v>1</v>
      </c>
      <c r="AK196" s="112">
        <v>1.25</v>
      </c>
      <c r="AL196" s="111">
        <v>0</v>
      </c>
      <c r="AM196" s="112">
        <v>0</v>
      </c>
      <c r="AN196" s="111">
        <v>77</v>
      </c>
      <c r="AO196" s="112">
        <v>96.25</v>
      </c>
      <c r="AP196" s="111">
        <v>80</v>
      </c>
    </row>
    <row r="197" spans="1:42" ht="15">
      <c r="A197" s="65" t="s">
        <v>369</v>
      </c>
      <c r="B197" s="65" t="s">
        <v>484</v>
      </c>
      <c r="C197" s="66" t="s">
        <v>2942</v>
      </c>
      <c r="D197" s="67">
        <v>3</v>
      </c>
      <c r="E197" s="68"/>
      <c r="F197" s="69">
        <v>40</v>
      </c>
      <c r="G197" s="66"/>
      <c r="H197" s="70"/>
      <c r="I197" s="71"/>
      <c r="J197" s="71"/>
      <c r="K197" s="35" t="s">
        <v>66</v>
      </c>
      <c r="L197" s="79">
        <v>197</v>
      </c>
      <c r="M197" s="79"/>
      <c r="N197" s="73"/>
      <c r="O197" s="81" t="s">
        <v>564</v>
      </c>
      <c r="P197" s="81" t="s">
        <v>566</v>
      </c>
      <c r="Q197" s="84" t="s">
        <v>758</v>
      </c>
      <c r="R197" s="81" t="s">
        <v>369</v>
      </c>
      <c r="S197" s="81" t="s">
        <v>882</v>
      </c>
      <c r="T197" s="86" t="str">
        <f>HYPERLINK("http://www.youtube.com/channel/UCerAw4EfTOnYYxLLPZAzMxQ")</f>
        <v>http://www.youtube.com/channel/UCerAw4EfTOnYYxLLPZAzMxQ</v>
      </c>
      <c r="U197" s="81" t="s">
        <v>1073</v>
      </c>
      <c r="V197" s="81" t="s">
        <v>1128</v>
      </c>
      <c r="W197" s="86" t="str">
        <f>HYPERLINK("https://www.youtube.com/watch?v=PC-PgkhpsNc")</f>
        <v>https://www.youtube.com/watch?v=PC-PgkhpsNc</v>
      </c>
      <c r="X197" s="81" t="s">
        <v>1183</v>
      </c>
      <c r="Y197" s="81">
        <v>1</v>
      </c>
      <c r="Z197" s="88">
        <v>41801.816145833334</v>
      </c>
      <c r="AA197" s="88">
        <v>41801.816145833334</v>
      </c>
      <c r="AB197" s="81"/>
      <c r="AC197" s="81"/>
      <c r="AD197" s="84" t="s">
        <v>1239</v>
      </c>
      <c r="AE197" s="82">
        <v>1</v>
      </c>
      <c r="AF197" s="83" t="str">
        <f>REPLACE(INDEX(GroupVertices[Group],MATCH(Edges[[#This Row],[Vertex 1]],GroupVertices[Vertex],0)),1,1,"")</f>
        <v>1</v>
      </c>
      <c r="AG197" s="83" t="str">
        <f>REPLACE(INDEX(GroupVertices[Group],MATCH(Edges[[#This Row],[Vertex 2]],GroupVertices[Vertex],0)),1,1,"")</f>
        <v>1</v>
      </c>
      <c r="AH197" s="111">
        <v>0</v>
      </c>
      <c r="AI197" s="112">
        <v>0</v>
      </c>
      <c r="AJ197" s="111">
        <v>0</v>
      </c>
      <c r="AK197" s="112">
        <v>0</v>
      </c>
      <c r="AL197" s="111">
        <v>0</v>
      </c>
      <c r="AM197" s="112">
        <v>0</v>
      </c>
      <c r="AN197" s="111">
        <v>10</v>
      </c>
      <c r="AO197" s="112">
        <v>100</v>
      </c>
      <c r="AP197" s="111">
        <v>10</v>
      </c>
    </row>
    <row r="198" spans="1:42" ht="15">
      <c r="A198" s="65" t="s">
        <v>484</v>
      </c>
      <c r="B198" s="65" t="s">
        <v>369</v>
      </c>
      <c r="C198" s="66" t="s">
        <v>2942</v>
      </c>
      <c r="D198" s="67">
        <v>3</v>
      </c>
      <c r="E198" s="68"/>
      <c r="F198" s="69">
        <v>40</v>
      </c>
      <c r="G198" s="66"/>
      <c r="H198" s="70"/>
      <c r="I198" s="71"/>
      <c r="J198" s="71"/>
      <c r="K198" s="35" t="s">
        <v>66</v>
      </c>
      <c r="L198" s="79">
        <v>198</v>
      </c>
      <c r="M198" s="79"/>
      <c r="N198" s="73"/>
      <c r="O198" s="81" t="s">
        <v>563</v>
      </c>
      <c r="P198" s="81" t="s">
        <v>325</v>
      </c>
      <c r="Q198" s="84" t="s">
        <v>759</v>
      </c>
      <c r="R198" s="81" t="s">
        <v>484</v>
      </c>
      <c r="S198" s="81" t="s">
        <v>997</v>
      </c>
      <c r="T198" s="86" t="str">
        <f>HYPERLINK("http://www.youtube.com/channel/UCl_-t3QxGQvNu9-Wp1iGLdQ")</f>
        <v>http://www.youtube.com/channel/UCl_-t3QxGQvNu9-Wp1iGLdQ</v>
      </c>
      <c r="U198" s="81"/>
      <c r="V198" s="81" t="s">
        <v>1128</v>
      </c>
      <c r="W198" s="86" t="str">
        <f>HYPERLINK("https://www.youtube.com/watch?v=PC-PgkhpsNc")</f>
        <v>https://www.youtube.com/watch?v=PC-PgkhpsNc</v>
      </c>
      <c r="X198" s="81" t="s">
        <v>1183</v>
      </c>
      <c r="Y198" s="81">
        <v>0</v>
      </c>
      <c r="Z198" s="88">
        <v>41768.82341435185</v>
      </c>
      <c r="AA198" s="88">
        <v>41768.82341435185</v>
      </c>
      <c r="AB198" s="81"/>
      <c r="AC198" s="81"/>
      <c r="AD198" s="84" t="s">
        <v>1239</v>
      </c>
      <c r="AE198" s="82">
        <v>1</v>
      </c>
      <c r="AF198" s="83" t="str">
        <f>REPLACE(INDEX(GroupVertices[Group],MATCH(Edges[[#This Row],[Vertex 1]],GroupVertices[Vertex],0)),1,1,"")</f>
        <v>1</v>
      </c>
      <c r="AG198" s="83" t="str">
        <f>REPLACE(INDEX(GroupVertices[Group],MATCH(Edges[[#This Row],[Vertex 2]],GroupVertices[Vertex],0)),1,1,"")</f>
        <v>1</v>
      </c>
      <c r="AH198" s="111">
        <v>1</v>
      </c>
      <c r="AI198" s="112">
        <v>2.6315789473684212</v>
      </c>
      <c r="AJ198" s="111">
        <v>0</v>
      </c>
      <c r="AK198" s="112">
        <v>0</v>
      </c>
      <c r="AL198" s="111">
        <v>0</v>
      </c>
      <c r="AM198" s="112">
        <v>0</v>
      </c>
      <c r="AN198" s="111">
        <v>37</v>
      </c>
      <c r="AO198" s="112">
        <v>97.36842105263158</v>
      </c>
      <c r="AP198" s="111">
        <v>38</v>
      </c>
    </row>
    <row r="199" spans="1:42" ht="15">
      <c r="A199" s="65" t="s">
        <v>485</v>
      </c>
      <c r="B199" s="65" t="s">
        <v>369</v>
      </c>
      <c r="C199" s="66" t="s">
        <v>2942</v>
      </c>
      <c r="D199" s="67">
        <v>3</v>
      </c>
      <c r="E199" s="68"/>
      <c r="F199" s="69">
        <v>40</v>
      </c>
      <c r="G199" s="66"/>
      <c r="H199" s="70"/>
      <c r="I199" s="71"/>
      <c r="J199" s="71"/>
      <c r="K199" s="35" t="s">
        <v>65</v>
      </c>
      <c r="L199" s="79">
        <v>199</v>
      </c>
      <c r="M199" s="79"/>
      <c r="N199" s="73"/>
      <c r="O199" s="81" t="s">
        <v>563</v>
      </c>
      <c r="P199" s="81" t="s">
        <v>325</v>
      </c>
      <c r="Q199" s="84" t="s">
        <v>760</v>
      </c>
      <c r="R199" s="81" t="s">
        <v>485</v>
      </c>
      <c r="S199" s="81" t="s">
        <v>998</v>
      </c>
      <c r="T199" s="86" t="str">
        <f>HYPERLINK("http://www.youtube.com/channel/UC72mAuOZR5GBLYq7vDITHuw")</f>
        <v>http://www.youtube.com/channel/UC72mAuOZR5GBLYq7vDITHuw</v>
      </c>
      <c r="U199" s="81"/>
      <c r="V199" s="81" t="s">
        <v>1128</v>
      </c>
      <c r="W199" s="86" t="str">
        <f>HYPERLINK("https://www.youtube.com/watch?v=PC-PgkhpsNc")</f>
        <v>https://www.youtube.com/watch?v=PC-PgkhpsNc</v>
      </c>
      <c r="X199" s="81" t="s">
        <v>1183</v>
      </c>
      <c r="Y199" s="81">
        <v>0</v>
      </c>
      <c r="Z199" s="88">
        <v>41801.7928125</v>
      </c>
      <c r="AA199" s="88">
        <v>41801.7928125</v>
      </c>
      <c r="AB199" s="81"/>
      <c r="AC199" s="81"/>
      <c r="AD199" s="84" t="s">
        <v>1239</v>
      </c>
      <c r="AE199" s="82">
        <v>1</v>
      </c>
      <c r="AF199" s="83" t="str">
        <f>REPLACE(INDEX(GroupVertices[Group],MATCH(Edges[[#This Row],[Vertex 1]],GroupVertices[Vertex],0)),1,1,"")</f>
        <v>1</v>
      </c>
      <c r="AG199" s="83" t="str">
        <f>REPLACE(INDEX(GroupVertices[Group],MATCH(Edges[[#This Row],[Vertex 2]],GroupVertices[Vertex],0)),1,1,"")</f>
        <v>1</v>
      </c>
      <c r="AH199" s="111">
        <v>4</v>
      </c>
      <c r="AI199" s="112">
        <v>8.16326530612245</v>
      </c>
      <c r="AJ199" s="111">
        <v>0</v>
      </c>
      <c r="AK199" s="112">
        <v>0</v>
      </c>
      <c r="AL199" s="111">
        <v>0</v>
      </c>
      <c r="AM199" s="112">
        <v>0</v>
      </c>
      <c r="AN199" s="111">
        <v>45</v>
      </c>
      <c r="AO199" s="112">
        <v>91.83673469387755</v>
      </c>
      <c r="AP199" s="111">
        <v>49</v>
      </c>
    </row>
    <row r="200" spans="1:42" ht="15">
      <c r="A200" s="65" t="s">
        <v>486</v>
      </c>
      <c r="B200" s="65" t="s">
        <v>369</v>
      </c>
      <c r="C200" s="66" t="s">
        <v>2942</v>
      </c>
      <c r="D200" s="67">
        <v>3</v>
      </c>
      <c r="E200" s="68"/>
      <c r="F200" s="69">
        <v>40</v>
      </c>
      <c r="G200" s="66"/>
      <c r="H200" s="70"/>
      <c r="I200" s="71"/>
      <c r="J200" s="71"/>
      <c r="K200" s="35" t="s">
        <v>65</v>
      </c>
      <c r="L200" s="79">
        <v>200</v>
      </c>
      <c r="M200" s="79"/>
      <c r="N200" s="73"/>
      <c r="O200" s="81" t="s">
        <v>563</v>
      </c>
      <c r="P200" s="81" t="s">
        <v>325</v>
      </c>
      <c r="Q200" s="84" t="s">
        <v>761</v>
      </c>
      <c r="R200" s="81" t="s">
        <v>486</v>
      </c>
      <c r="S200" s="81" t="s">
        <v>999</v>
      </c>
      <c r="T200" s="86" t="str">
        <f>HYPERLINK("http://www.youtube.com/channel/UCe9SZXN8hQOR5jjWTKgMNiA")</f>
        <v>http://www.youtube.com/channel/UCe9SZXN8hQOR5jjWTKgMNiA</v>
      </c>
      <c r="U200" s="81"/>
      <c r="V200" s="81" t="s">
        <v>1128</v>
      </c>
      <c r="W200" s="86" t="str">
        <f>HYPERLINK("https://www.youtube.com/watch?v=PC-PgkhpsNc")</f>
        <v>https://www.youtube.com/watch?v=PC-PgkhpsNc</v>
      </c>
      <c r="X200" s="81" t="s">
        <v>1183</v>
      </c>
      <c r="Y200" s="81">
        <v>2</v>
      </c>
      <c r="Z200" s="88">
        <v>41976.82642361111</v>
      </c>
      <c r="AA200" s="88">
        <v>41976.82642361111</v>
      </c>
      <c r="AB200" s="81"/>
      <c r="AC200" s="81"/>
      <c r="AD200" s="84" t="s">
        <v>1239</v>
      </c>
      <c r="AE200" s="82">
        <v>1</v>
      </c>
      <c r="AF200" s="83" t="str">
        <f>REPLACE(INDEX(GroupVertices[Group],MATCH(Edges[[#This Row],[Vertex 1]],GroupVertices[Vertex],0)),1,1,"")</f>
        <v>1</v>
      </c>
      <c r="AG200" s="83" t="str">
        <f>REPLACE(INDEX(GroupVertices[Group],MATCH(Edges[[#This Row],[Vertex 2]],GroupVertices[Vertex],0)),1,1,"")</f>
        <v>1</v>
      </c>
      <c r="AH200" s="111">
        <v>2</v>
      </c>
      <c r="AI200" s="112">
        <v>20</v>
      </c>
      <c r="AJ200" s="111">
        <v>0</v>
      </c>
      <c r="AK200" s="112">
        <v>0</v>
      </c>
      <c r="AL200" s="111">
        <v>0</v>
      </c>
      <c r="AM200" s="112">
        <v>0</v>
      </c>
      <c r="AN200" s="111">
        <v>8</v>
      </c>
      <c r="AO200" s="112">
        <v>80</v>
      </c>
      <c r="AP200" s="111">
        <v>10</v>
      </c>
    </row>
    <row r="201" spans="1:42" ht="15">
      <c r="A201" s="65" t="s">
        <v>487</v>
      </c>
      <c r="B201" s="65" t="s">
        <v>369</v>
      </c>
      <c r="C201" s="66" t="s">
        <v>2942</v>
      </c>
      <c r="D201" s="67">
        <v>3</v>
      </c>
      <c r="E201" s="68"/>
      <c r="F201" s="69">
        <v>40</v>
      </c>
      <c r="G201" s="66"/>
      <c r="H201" s="70"/>
      <c r="I201" s="71"/>
      <c r="J201" s="71"/>
      <c r="K201" s="35" t="s">
        <v>65</v>
      </c>
      <c r="L201" s="79">
        <v>201</v>
      </c>
      <c r="M201" s="79"/>
      <c r="N201" s="73"/>
      <c r="O201" s="81" t="s">
        <v>563</v>
      </c>
      <c r="P201" s="81" t="s">
        <v>325</v>
      </c>
      <c r="Q201" s="84" t="s">
        <v>762</v>
      </c>
      <c r="R201" s="81" t="s">
        <v>487</v>
      </c>
      <c r="S201" s="81" t="s">
        <v>1000</v>
      </c>
      <c r="T201" s="86" t="str">
        <f>HYPERLINK("http://www.youtube.com/channel/UCZ8nrFIJyJwN6R0ZOALXetQ")</f>
        <v>http://www.youtube.com/channel/UCZ8nrFIJyJwN6R0ZOALXetQ</v>
      </c>
      <c r="U201" s="81"/>
      <c r="V201" s="81" t="s">
        <v>1128</v>
      </c>
      <c r="W201" s="86" t="str">
        <f>HYPERLINK("https://www.youtube.com/watch?v=PC-PgkhpsNc")</f>
        <v>https://www.youtube.com/watch?v=PC-PgkhpsNc</v>
      </c>
      <c r="X201" s="81" t="s">
        <v>1183</v>
      </c>
      <c r="Y201" s="81">
        <v>1</v>
      </c>
      <c r="Z201" s="88">
        <v>42037.81920138889</v>
      </c>
      <c r="AA201" s="88">
        <v>42037.81920138889</v>
      </c>
      <c r="AB201" s="81"/>
      <c r="AC201" s="81"/>
      <c r="AD201" s="84" t="s">
        <v>1239</v>
      </c>
      <c r="AE201" s="82">
        <v>1</v>
      </c>
      <c r="AF201" s="83" t="str">
        <f>REPLACE(INDEX(GroupVertices[Group],MATCH(Edges[[#This Row],[Vertex 1]],GroupVertices[Vertex],0)),1,1,"")</f>
        <v>1</v>
      </c>
      <c r="AG201" s="83" t="str">
        <f>REPLACE(INDEX(GroupVertices[Group],MATCH(Edges[[#This Row],[Vertex 2]],GroupVertices[Vertex],0)),1,1,"")</f>
        <v>1</v>
      </c>
      <c r="AH201" s="111">
        <v>1</v>
      </c>
      <c r="AI201" s="112">
        <v>12.5</v>
      </c>
      <c r="AJ201" s="111">
        <v>0</v>
      </c>
      <c r="AK201" s="112">
        <v>0</v>
      </c>
      <c r="AL201" s="111">
        <v>0</v>
      </c>
      <c r="AM201" s="112">
        <v>0</v>
      </c>
      <c r="AN201" s="111">
        <v>7</v>
      </c>
      <c r="AO201" s="112">
        <v>87.5</v>
      </c>
      <c r="AP201" s="111">
        <v>8</v>
      </c>
    </row>
    <row r="202" spans="1:42" ht="15">
      <c r="A202" s="65" t="s">
        <v>488</v>
      </c>
      <c r="B202" s="65" t="s">
        <v>489</v>
      </c>
      <c r="C202" s="66" t="s">
        <v>2942</v>
      </c>
      <c r="D202" s="67">
        <v>3</v>
      </c>
      <c r="E202" s="68"/>
      <c r="F202" s="69">
        <v>40</v>
      </c>
      <c r="G202" s="66"/>
      <c r="H202" s="70"/>
      <c r="I202" s="71"/>
      <c r="J202" s="71"/>
      <c r="K202" s="35" t="s">
        <v>65</v>
      </c>
      <c r="L202" s="79">
        <v>202</v>
      </c>
      <c r="M202" s="79"/>
      <c r="N202" s="73"/>
      <c r="O202" s="81" t="s">
        <v>564</v>
      </c>
      <c r="P202" s="81" t="s">
        <v>566</v>
      </c>
      <c r="Q202" s="84" t="s">
        <v>763</v>
      </c>
      <c r="R202" s="81" t="s">
        <v>488</v>
      </c>
      <c r="S202" s="81" t="s">
        <v>1001</v>
      </c>
      <c r="T202" s="86" t="str">
        <f>HYPERLINK("http://www.youtube.com/channel/UCc_IrnsTVtcDBTMBJ6prkag")</f>
        <v>http://www.youtube.com/channel/UCc_IrnsTVtcDBTMBJ6prkag</v>
      </c>
      <c r="U202" s="81" t="s">
        <v>1074</v>
      </c>
      <c r="V202" s="81" t="s">
        <v>1128</v>
      </c>
      <c r="W202" s="86" t="str">
        <f>HYPERLINK("https://www.youtube.com/watch?v=PC-PgkhpsNc")</f>
        <v>https://www.youtube.com/watch?v=PC-PgkhpsNc</v>
      </c>
      <c r="X202" s="81" t="s">
        <v>1183</v>
      </c>
      <c r="Y202" s="81">
        <v>0</v>
      </c>
      <c r="Z202" s="88">
        <v>42264.98850694444</v>
      </c>
      <c r="AA202" s="88">
        <v>42264.98850694444</v>
      </c>
      <c r="AB202" s="81"/>
      <c r="AC202" s="81"/>
      <c r="AD202" s="84" t="s">
        <v>1239</v>
      </c>
      <c r="AE202" s="82">
        <v>1</v>
      </c>
      <c r="AF202" s="83" t="str">
        <f>REPLACE(INDEX(GroupVertices[Group],MATCH(Edges[[#This Row],[Vertex 1]],GroupVertices[Vertex],0)),1,1,"")</f>
        <v>1</v>
      </c>
      <c r="AG202" s="83" t="str">
        <f>REPLACE(INDEX(GroupVertices[Group],MATCH(Edges[[#This Row],[Vertex 2]],GroupVertices[Vertex],0)),1,1,"")</f>
        <v>1</v>
      </c>
      <c r="AH202" s="111">
        <v>0</v>
      </c>
      <c r="AI202" s="112">
        <v>0</v>
      </c>
      <c r="AJ202" s="111">
        <v>0</v>
      </c>
      <c r="AK202" s="112">
        <v>0</v>
      </c>
      <c r="AL202" s="111">
        <v>0</v>
      </c>
      <c r="AM202" s="112">
        <v>0</v>
      </c>
      <c r="AN202" s="111">
        <v>13</v>
      </c>
      <c r="AO202" s="112">
        <v>100</v>
      </c>
      <c r="AP202" s="111">
        <v>13</v>
      </c>
    </row>
    <row r="203" spans="1:42" ht="15">
      <c r="A203" s="65" t="s">
        <v>369</v>
      </c>
      <c r="B203" s="65" t="s">
        <v>489</v>
      </c>
      <c r="C203" s="66" t="s">
        <v>2946</v>
      </c>
      <c r="D203" s="67">
        <v>10</v>
      </c>
      <c r="E203" s="68"/>
      <c r="F203" s="69">
        <v>15</v>
      </c>
      <c r="G203" s="66"/>
      <c r="H203" s="70"/>
      <c r="I203" s="71"/>
      <c r="J203" s="71"/>
      <c r="K203" s="35" t="s">
        <v>66</v>
      </c>
      <c r="L203" s="79">
        <v>203</v>
      </c>
      <c r="M203" s="79"/>
      <c r="N203" s="73"/>
      <c r="O203" s="81" t="s">
        <v>564</v>
      </c>
      <c r="P203" s="81" t="s">
        <v>566</v>
      </c>
      <c r="Q203" s="84" t="s">
        <v>764</v>
      </c>
      <c r="R203" s="81" t="s">
        <v>369</v>
      </c>
      <c r="S203" s="81" t="s">
        <v>882</v>
      </c>
      <c r="T203" s="86" t="str">
        <f>HYPERLINK("http://www.youtube.com/channel/UCerAw4EfTOnYYxLLPZAzMxQ")</f>
        <v>http://www.youtube.com/channel/UCerAw4EfTOnYYxLLPZAzMxQ</v>
      </c>
      <c r="U203" s="81" t="s">
        <v>1075</v>
      </c>
      <c r="V203" s="81" t="s">
        <v>1105</v>
      </c>
      <c r="W203" s="86" t="str">
        <f>HYPERLINK("https://www.youtube.com/watch?v=lbb2lMCSg64")</f>
        <v>https://www.youtube.com/watch?v=lbb2lMCSg64</v>
      </c>
      <c r="X203" s="81" t="s">
        <v>1183</v>
      </c>
      <c r="Y203" s="81">
        <v>1</v>
      </c>
      <c r="Z203" s="88">
        <v>42212.61324074074</v>
      </c>
      <c r="AA203" s="88">
        <v>42212.61324074074</v>
      </c>
      <c r="AB203" s="81"/>
      <c r="AC203" s="81"/>
      <c r="AD203" s="84" t="s">
        <v>1239</v>
      </c>
      <c r="AE203" s="82">
        <v>6</v>
      </c>
      <c r="AF203" s="83" t="str">
        <f>REPLACE(INDEX(GroupVertices[Group],MATCH(Edges[[#This Row],[Vertex 1]],GroupVertices[Vertex],0)),1,1,"")</f>
        <v>1</v>
      </c>
      <c r="AG203" s="83" t="str">
        <f>REPLACE(INDEX(GroupVertices[Group],MATCH(Edges[[#This Row],[Vertex 2]],GroupVertices[Vertex],0)),1,1,"")</f>
        <v>1</v>
      </c>
      <c r="AH203" s="111">
        <v>0</v>
      </c>
      <c r="AI203" s="112">
        <v>0</v>
      </c>
      <c r="AJ203" s="111">
        <v>0</v>
      </c>
      <c r="AK203" s="112">
        <v>0</v>
      </c>
      <c r="AL203" s="111">
        <v>0</v>
      </c>
      <c r="AM203" s="112">
        <v>0</v>
      </c>
      <c r="AN203" s="111">
        <v>33</v>
      </c>
      <c r="AO203" s="112">
        <v>100</v>
      </c>
      <c r="AP203" s="111">
        <v>33</v>
      </c>
    </row>
    <row r="204" spans="1:42" ht="15">
      <c r="A204" s="65" t="s">
        <v>489</v>
      </c>
      <c r="B204" s="65" t="s">
        <v>369</v>
      </c>
      <c r="C204" s="66" t="s">
        <v>2947</v>
      </c>
      <c r="D204" s="67">
        <v>10</v>
      </c>
      <c r="E204" s="68"/>
      <c r="F204" s="69">
        <v>15</v>
      </c>
      <c r="G204" s="66"/>
      <c r="H204" s="70"/>
      <c r="I204" s="71"/>
      <c r="J204" s="71"/>
      <c r="K204" s="35" t="s">
        <v>66</v>
      </c>
      <c r="L204" s="79">
        <v>204</v>
      </c>
      <c r="M204" s="79"/>
      <c r="N204" s="73"/>
      <c r="O204" s="81" t="s">
        <v>563</v>
      </c>
      <c r="P204" s="81" t="s">
        <v>325</v>
      </c>
      <c r="Q204" s="84" t="s">
        <v>765</v>
      </c>
      <c r="R204" s="81" t="s">
        <v>489</v>
      </c>
      <c r="S204" s="81" t="s">
        <v>1002</v>
      </c>
      <c r="T204" s="86" t="str">
        <f>HYPERLINK("http://www.youtube.com/channel/UCd0sHnrF1NVw90DF39XEKDQ")</f>
        <v>http://www.youtube.com/channel/UCd0sHnrF1NVw90DF39XEKDQ</v>
      </c>
      <c r="U204" s="81"/>
      <c r="V204" s="81" t="s">
        <v>1105</v>
      </c>
      <c r="W204" s="86" t="str">
        <f>HYPERLINK("https://www.youtube.com/watch?v=lbb2lMCSg64")</f>
        <v>https://www.youtube.com/watch?v=lbb2lMCSg64</v>
      </c>
      <c r="X204" s="81" t="s">
        <v>1183</v>
      </c>
      <c r="Y204" s="81">
        <v>0</v>
      </c>
      <c r="Z204" s="88">
        <v>42212.52552083333</v>
      </c>
      <c r="AA204" s="88">
        <v>42212.52552083333</v>
      </c>
      <c r="AB204" s="81"/>
      <c r="AC204" s="81"/>
      <c r="AD204" s="84" t="s">
        <v>1239</v>
      </c>
      <c r="AE204" s="82">
        <v>7</v>
      </c>
      <c r="AF204" s="83" t="str">
        <f>REPLACE(INDEX(GroupVertices[Group],MATCH(Edges[[#This Row],[Vertex 1]],GroupVertices[Vertex],0)),1,1,"")</f>
        <v>1</v>
      </c>
      <c r="AG204" s="83" t="str">
        <f>REPLACE(INDEX(GroupVertices[Group],MATCH(Edges[[#This Row],[Vertex 2]],GroupVertices[Vertex],0)),1,1,"")</f>
        <v>1</v>
      </c>
      <c r="AH204" s="111">
        <v>0</v>
      </c>
      <c r="AI204" s="112">
        <v>0</v>
      </c>
      <c r="AJ204" s="111">
        <v>0</v>
      </c>
      <c r="AK204" s="112">
        <v>0</v>
      </c>
      <c r="AL204" s="111">
        <v>0</v>
      </c>
      <c r="AM204" s="112">
        <v>0</v>
      </c>
      <c r="AN204" s="111">
        <v>12</v>
      </c>
      <c r="AO204" s="112">
        <v>100</v>
      </c>
      <c r="AP204" s="111">
        <v>12</v>
      </c>
    </row>
    <row r="205" spans="1:42" ht="15">
      <c r="A205" s="65" t="s">
        <v>489</v>
      </c>
      <c r="B205" s="65" t="s">
        <v>369</v>
      </c>
      <c r="C205" s="66" t="s">
        <v>2947</v>
      </c>
      <c r="D205" s="67">
        <v>10</v>
      </c>
      <c r="E205" s="68"/>
      <c r="F205" s="69">
        <v>15</v>
      </c>
      <c r="G205" s="66"/>
      <c r="H205" s="70"/>
      <c r="I205" s="71"/>
      <c r="J205" s="71"/>
      <c r="K205" s="35" t="s">
        <v>66</v>
      </c>
      <c r="L205" s="79">
        <v>205</v>
      </c>
      <c r="M205" s="79"/>
      <c r="N205" s="73"/>
      <c r="O205" s="81" t="s">
        <v>563</v>
      </c>
      <c r="P205" s="81" t="s">
        <v>325</v>
      </c>
      <c r="Q205" s="84" t="s">
        <v>766</v>
      </c>
      <c r="R205" s="81" t="s">
        <v>489</v>
      </c>
      <c r="S205" s="81" t="s">
        <v>1002</v>
      </c>
      <c r="T205" s="86" t="str">
        <f>HYPERLINK("http://www.youtube.com/channel/UCd0sHnrF1NVw90DF39XEKDQ")</f>
        <v>http://www.youtube.com/channel/UCd0sHnrF1NVw90DF39XEKDQ</v>
      </c>
      <c r="U205" s="81"/>
      <c r="V205" s="81" t="s">
        <v>1105</v>
      </c>
      <c r="W205" s="86" t="str">
        <f>HYPERLINK("https://www.youtube.com/watch?v=lbb2lMCSg64")</f>
        <v>https://www.youtube.com/watch?v=lbb2lMCSg64</v>
      </c>
      <c r="X205" s="81" t="s">
        <v>1183</v>
      </c>
      <c r="Y205" s="81">
        <v>0</v>
      </c>
      <c r="Z205" s="88">
        <v>42212.57974537037</v>
      </c>
      <c r="AA205" s="88">
        <v>42212.57974537037</v>
      </c>
      <c r="AB205" s="81"/>
      <c r="AC205" s="81"/>
      <c r="AD205" s="84" t="s">
        <v>1239</v>
      </c>
      <c r="AE205" s="82">
        <v>7</v>
      </c>
      <c r="AF205" s="83" t="str">
        <f>REPLACE(INDEX(GroupVertices[Group],MATCH(Edges[[#This Row],[Vertex 1]],GroupVertices[Vertex],0)),1,1,"")</f>
        <v>1</v>
      </c>
      <c r="AG205" s="83" t="str">
        <f>REPLACE(INDEX(GroupVertices[Group],MATCH(Edges[[#This Row],[Vertex 2]],GroupVertices[Vertex],0)),1,1,"")</f>
        <v>1</v>
      </c>
      <c r="AH205" s="111">
        <v>0</v>
      </c>
      <c r="AI205" s="112">
        <v>0</v>
      </c>
      <c r="AJ205" s="111">
        <v>0</v>
      </c>
      <c r="AK205" s="112">
        <v>0</v>
      </c>
      <c r="AL205" s="111">
        <v>0</v>
      </c>
      <c r="AM205" s="112">
        <v>0</v>
      </c>
      <c r="AN205" s="111">
        <v>25</v>
      </c>
      <c r="AO205" s="112">
        <v>100</v>
      </c>
      <c r="AP205" s="111">
        <v>25</v>
      </c>
    </row>
    <row r="206" spans="1:42" ht="15">
      <c r="A206" s="65" t="s">
        <v>369</v>
      </c>
      <c r="B206" s="65" t="s">
        <v>489</v>
      </c>
      <c r="C206" s="66" t="s">
        <v>2946</v>
      </c>
      <c r="D206" s="67">
        <v>10</v>
      </c>
      <c r="E206" s="68"/>
      <c r="F206" s="69">
        <v>15</v>
      </c>
      <c r="G206" s="66"/>
      <c r="H206" s="70"/>
      <c r="I206" s="71"/>
      <c r="J206" s="71"/>
      <c r="K206" s="35" t="s">
        <v>66</v>
      </c>
      <c r="L206" s="79">
        <v>206</v>
      </c>
      <c r="M206" s="79"/>
      <c r="N206" s="73"/>
      <c r="O206" s="81" t="s">
        <v>564</v>
      </c>
      <c r="P206" s="81" t="s">
        <v>566</v>
      </c>
      <c r="Q206" s="84" t="s">
        <v>767</v>
      </c>
      <c r="R206" s="81" t="s">
        <v>369</v>
      </c>
      <c r="S206" s="81" t="s">
        <v>882</v>
      </c>
      <c r="T206" s="86" t="str">
        <f>HYPERLINK("http://www.youtube.com/channel/UCerAw4EfTOnYYxLLPZAzMxQ")</f>
        <v>http://www.youtube.com/channel/UCerAw4EfTOnYYxLLPZAzMxQ</v>
      </c>
      <c r="U206" s="81" t="s">
        <v>1076</v>
      </c>
      <c r="V206" s="81" t="s">
        <v>1124</v>
      </c>
      <c r="W206" s="86" t="str">
        <f>HYPERLINK("https://www.youtube.com/watch?v=08MqGSL9TNQ")</f>
        <v>https://www.youtube.com/watch?v=08MqGSL9TNQ</v>
      </c>
      <c r="X206" s="81" t="s">
        <v>1183</v>
      </c>
      <c r="Y206" s="81">
        <v>0</v>
      </c>
      <c r="Z206" s="88">
        <v>42493.90181712963</v>
      </c>
      <c r="AA206" s="88">
        <v>42493.90181712963</v>
      </c>
      <c r="AB206" s="81" t="s">
        <v>1204</v>
      </c>
      <c r="AC206" s="81" t="s">
        <v>1227</v>
      </c>
      <c r="AD206" s="84" t="s">
        <v>1239</v>
      </c>
      <c r="AE206" s="82">
        <v>6</v>
      </c>
      <c r="AF206" s="83" t="str">
        <f>REPLACE(INDEX(GroupVertices[Group],MATCH(Edges[[#This Row],[Vertex 1]],GroupVertices[Vertex],0)),1,1,"")</f>
        <v>1</v>
      </c>
      <c r="AG206" s="83" t="str">
        <f>REPLACE(INDEX(GroupVertices[Group],MATCH(Edges[[#This Row],[Vertex 2]],GroupVertices[Vertex],0)),1,1,"")</f>
        <v>1</v>
      </c>
      <c r="AH206" s="111">
        <v>1</v>
      </c>
      <c r="AI206" s="112">
        <v>5.2631578947368425</v>
      </c>
      <c r="AJ206" s="111">
        <v>0</v>
      </c>
      <c r="AK206" s="112">
        <v>0</v>
      </c>
      <c r="AL206" s="111">
        <v>0</v>
      </c>
      <c r="AM206" s="112">
        <v>0</v>
      </c>
      <c r="AN206" s="111">
        <v>18</v>
      </c>
      <c r="AO206" s="112">
        <v>94.73684210526316</v>
      </c>
      <c r="AP206" s="111">
        <v>19</v>
      </c>
    </row>
    <row r="207" spans="1:42" ht="15">
      <c r="A207" s="65" t="s">
        <v>489</v>
      </c>
      <c r="B207" s="65" t="s">
        <v>369</v>
      </c>
      <c r="C207" s="66" t="s">
        <v>2947</v>
      </c>
      <c r="D207" s="67">
        <v>10</v>
      </c>
      <c r="E207" s="68"/>
      <c r="F207" s="69">
        <v>15</v>
      </c>
      <c r="G207" s="66"/>
      <c r="H207" s="70"/>
      <c r="I207" s="71"/>
      <c r="J207" s="71"/>
      <c r="K207" s="35" t="s">
        <v>66</v>
      </c>
      <c r="L207" s="79">
        <v>207</v>
      </c>
      <c r="M207" s="79"/>
      <c r="N207" s="73"/>
      <c r="O207" s="81" t="s">
        <v>563</v>
      </c>
      <c r="P207" s="81" t="s">
        <v>325</v>
      </c>
      <c r="Q207" s="84" t="s">
        <v>768</v>
      </c>
      <c r="R207" s="81" t="s">
        <v>489</v>
      </c>
      <c r="S207" s="81" t="s">
        <v>1002</v>
      </c>
      <c r="T207" s="86" t="str">
        <f>HYPERLINK("http://www.youtube.com/channel/UCd0sHnrF1NVw90DF39XEKDQ")</f>
        <v>http://www.youtube.com/channel/UCd0sHnrF1NVw90DF39XEKDQ</v>
      </c>
      <c r="U207" s="81"/>
      <c r="V207" s="81" t="s">
        <v>1124</v>
      </c>
      <c r="W207" s="86" t="str">
        <f>HYPERLINK("https://www.youtube.com/watch?v=08MqGSL9TNQ")</f>
        <v>https://www.youtube.com/watch?v=08MqGSL9TNQ</v>
      </c>
      <c r="X207" s="81" t="s">
        <v>1183</v>
      </c>
      <c r="Y207" s="81">
        <v>0</v>
      </c>
      <c r="Z207" s="88">
        <v>42493.76190972222</v>
      </c>
      <c r="AA207" s="88">
        <v>42493.76190972222</v>
      </c>
      <c r="AB207" s="81"/>
      <c r="AC207" s="81"/>
      <c r="AD207" s="84" t="s">
        <v>1239</v>
      </c>
      <c r="AE207" s="82">
        <v>7</v>
      </c>
      <c r="AF207" s="83" t="str">
        <f>REPLACE(INDEX(GroupVertices[Group],MATCH(Edges[[#This Row],[Vertex 1]],GroupVertices[Vertex],0)),1,1,"")</f>
        <v>1</v>
      </c>
      <c r="AG207" s="83" t="str">
        <f>REPLACE(INDEX(GroupVertices[Group],MATCH(Edges[[#This Row],[Vertex 2]],GroupVertices[Vertex],0)),1,1,"")</f>
        <v>1</v>
      </c>
      <c r="AH207" s="111">
        <v>0</v>
      </c>
      <c r="AI207" s="112">
        <v>0</v>
      </c>
      <c r="AJ207" s="111">
        <v>0</v>
      </c>
      <c r="AK207" s="112">
        <v>0</v>
      </c>
      <c r="AL207" s="111">
        <v>0</v>
      </c>
      <c r="AM207" s="112">
        <v>0</v>
      </c>
      <c r="AN207" s="111">
        <v>7</v>
      </c>
      <c r="AO207" s="112">
        <v>100</v>
      </c>
      <c r="AP207" s="111">
        <v>7</v>
      </c>
    </row>
    <row r="208" spans="1:42" ht="15">
      <c r="A208" s="65" t="s">
        <v>489</v>
      </c>
      <c r="B208" s="65" t="s">
        <v>369</v>
      </c>
      <c r="C208" s="66" t="s">
        <v>2947</v>
      </c>
      <c r="D208" s="67">
        <v>10</v>
      </c>
      <c r="E208" s="68"/>
      <c r="F208" s="69">
        <v>15</v>
      </c>
      <c r="G208" s="66"/>
      <c r="H208" s="70"/>
      <c r="I208" s="71"/>
      <c r="J208" s="71"/>
      <c r="K208" s="35" t="s">
        <v>66</v>
      </c>
      <c r="L208" s="79">
        <v>208</v>
      </c>
      <c r="M208" s="79"/>
      <c r="N208" s="73"/>
      <c r="O208" s="81" t="s">
        <v>563</v>
      </c>
      <c r="P208" s="81" t="s">
        <v>325</v>
      </c>
      <c r="Q208" s="84" t="s">
        <v>769</v>
      </c>
      <c r="R208" s="81" t="s">
        <v>489</v>
      </c>
      <c r="S208" s="81" t="s">
        <v>1002</v>
      </c>
      <c r="T208" s="86" t="str">
        <f>HYPERLINK("http://www.youtube.com/channel/UCd0sHnrF1NVw90DF39XEKDQ")</f>
        <v>http://www.youtube.com/channel/UCd0sHnrF1NVw90DF39XEKDQ</v>
      </c>
      <c r="U208" s="81"/>
      <c r="V208" s="81" t="s">
        <v>1124</v>
      </c>
      <c r="W208" s="86" t="str">
        <f>HYPERLINK("https://www.youtube.com/watch?v=08MqGSL9TNQ")</f>
        <v>https://www.youtube.com/watch?v=08MqGSL9TNQ</v>
      </c>
      <c r="X208" s="81" t="s">
        <v>1183</v>
      </c>
      <c r="Y208" s="81">
        <v>0</v>
      </c>
      <c r="Z208" s="88">
        <v>42494.29804398148</v>
      </c>
      <c r="AA208" s="88">
        <v>42494.29804398148</v>
      </c>
      <c r="AB208" s="81"/>
      <c r="AC208" s="81"/>
      <c r="AD208" s="84" t="s">
        <v>1239</v>
      </c>
      <c r="AE208" s="82">
        <v>7</v>
      </c>
      <c r="AF208" s="83" t="str">
        <f>REPLACE(INDEX(GroupVertices[Group],MATCH(Edges[[#This Row],[Vertex 1]],GroupVertices[Vertex],0)),1,1,"")</f>
        <v>1</v>
      </c>
      <c r="AG208" s="83" t="str">
        <f>REPLACE(INDEX(GroupVertices[Group],MATCH(Edges[[#This Row],[Vertex 2]],GroupVertices[Vertex],0)),1,1,"")</f>
        <v>1</v>
      </c>
      <c r="AH208" s="111">
        <v>1</v>
      </c>
      <c r="AI208" s="112">
        <v>5</v>
      </c>
      <c r="AJ208" s="111">
        <v>0</v>
      </c>
      <c r="AK208" s="112">
        <v>0</v>
      </c>
      <c r="AL208" s="111">
        <v>0</v>
      </c>
      <c r="AM208" s="112">
        <v>0</v>
      </c>
      <c r="AN208" s="111">
        <v>19</v>
      </c>
      <c r="AO208" s="112">
        <v>95</v>
      </c>
      <c r="AP208" s="111">
        <v>20</v>
      </c>
    </row>
    <row r="209" spans="1:42" ht="15">
      <c r="A209" s="65" t="s">
        <v>369</v>
      </c>
      <c r="B209" s="65" t="s">
        <v>489</v>
      </c>
      <c r="C209" s="66" t="s">
        <v>2946</v>
      </c>
      <c r="D209" s="67">
        <v>10</v>
      </c>
      <c r="E209" s="68"/>
      <c r="F209" s="69">
        <v>15</v>
      </c>
      <c r="G209" s="66"/>
      <c r="H209" s="70"/>
      <c r="I209" s="71"/>
      <c r="J209" s="71"/>
      <c r="K209" s="35" t="s">
        <v>66</v>
      </c>
      <c r="L209" s="79">
        <v>209</v>
      </c>
      <c r="M209" s="79"/>
      <c r="N209" s="73"/>
      <c r="O209" s="81" t="s">
        <v>564</v>
      </c>
      <c r="P209" s="81" t="s">
        <v>566</v>
      </c>
      <c r="Q209" s="84" t="s">
        <v>770</v>
      </c>
      <c r="R209" s="81" t="s">
        <v>369</v>
      </c>
      <c r="S209" s="81" t="s">
        <v>882</v>
      </c>
      <c r="T209" s="86" t="str">
        <f>HYPERLINK("http://www.youtube.com/channel/UCerAw4EfTOnYYxLLPZAzMxQ")</f>
        <v>http://www.youtube.com/channel/UCerAw4EfTOnYYxLLPZAzMxQ</v>
      </c>
      <c r="U209" s="81" t="s">
        <v>1077</v>
      </c>
      <c r="V209" s="81" t="s">
        <v>1128</v>
      </c>
      <c r="W209" s="86" t="str">
        <f>HYPERLINK("https://www.youtube.com/watch?v=")</f>
        <v>https://www.youtube.com/watch?v=</v>
      </c>
      <c r="X209" s="81" t="s">
        <v>1183</v>
      </c>
      <c r="Y209" s="81">
        <v>0</v>
      </c>
      <c r="Z209" s="88">
        <v>42172.59724537037</v>
      </c>
      <c r="AA209" s="88">
        <v>42172.59724537037</v>
      </c>
      <c r="AB209" s="81"/>
      <c r="AC209" s="81"/>
      <c r="AD209" s="84" t="s">
        <v>1239</v>
      </c>
      <c r="AE209" s="82">
        <v>6</v>
      </c>
      <c r="AF209" s="83" t="str">
        <f>REPLACE(INDEX(GroupVertices[Group],MATCH(Edges[[#This Row],[Vertex 1]],GroupVertices[Vertex],0)),1,1,"")</f>
        <v>1</v>
      </c>
      <c r="AG209" s="83" t="str">
        <f>REPLACE(INDEX(GroupVertices[Group],MATCH(Edges[[#This Row],[Vertex 2]],GroupVertices[Vertex],0)),1,1,"")</f>
        <v>1</v>
      </c>
      <c r="AH209" s="111">
        <v>1</v>
      </c>
      <c r="AI209" s="112">
        <v>3.225806451612903</v>
      </c>
      <c r="AJ209" s="111">
        <v>0</v>
      </c>
      <c r="AK209" s="112">
        <v>0</v>
      </c>
      <c r="AL209" s="111">
        <v>0</v>
      </c>
      <c r="AM209" s="112">
        <v>0</v>
      </c>
      <c r="AN209" s="111">
        <v>30</v>
      </c>
      <c r="AO209" s="112">
        <v>96.7741935483871</v>
      </c>
      <c r="AP209" s="111">
        <v>31</v>
      </c>
    </row>
    <row r="210" spans="1:42" ht="15">
      <c r="A210" s="65" t="s">
        <v>489</v>
      </c>
      <c r="B210" s="65" t="s">
        <v>489</v>
      </c>
      <c r="C210" s="66" t="s">
        <v>2944</v>
      </c>
      <c r="D210" s="67">
        <v>5.8</v>
      </c>
      <c r="E210" s="68"/>
      <c r="F210" s="69">
        <v>30</v>
      </c>
      <c r="G210" s="66"/>
      <c r="H210" s="70"/>
      <c r="I210" s="71"/>
      <c r="J210" s="71"/>
      <c r="K210" s="35" t="s">
        <v>65</v>
      </c>
      <c r="L210" s="79">
        <v>210</v>
      </c>
      <c r="M210" s="79"/>
      <c r="N210" s="73"/>
      <c r="O210" s="81" t="s">
        <v>564</v>
      </c>
      <c r="P210" s="81" t="s">
        <v>566</v>
      </c>
      <c r="Q210" s="84" t="s">
        <v>771</v>
      </c>
      <c r="R210" s="81" t="s">
        <v>489</v>
      </c>
      <c r="S210" s="81" t="s">
        <v>1002</v>
      </c>
      <c r="T210" s="86" t="str">
        <f>HYPERLINK("http://www.youtube.com/channel/UCd0sHnrF1NVw90DF39XEKDQ")</f>
        <v>http://www.youtube.com/channel/UCd0sHnrF1NVw90DF39XEKDQ</v>
      </c>
      <c r="U210" s="81" t="s">
        <v>1077</v>
      </c>
      <c r="V210" s="81" t="s">
        <v>1128</v>
      </c>
      <c r="W210" s="86" t="str">
        <f>HYPERLINK("https://www.youtube.com/watch?v=")</f>
        <v>https://www.youtube.com/watch?v=</v>
      </c>
      <c r="X210" s="81" t="s">
        <v>1183</v>
      </c>
      <c r="Y210" s="81">
        <v>0</v>
      </c>
      <c r="Z210" s="88">
        <v>42172.88506944444</v>
      </c>
      <c r="AA210" s="88">
        <v>42172.88506944444</v>
      </c>
      <c r="AB210" s="81"/>
      <c r="AC210" s="81"/>
      <c r="AD210" s="84" t="s">
        <v>1239</v>
      </c>
      <c r="AE210" s="82">
        <v>3</v>
      </c>
      <c r="AF210" s="83" t="str">
        <f>REPLACE(INDEX(GroupVertices[Group],MATCH(Edges[[#This Row],[Vertex 1]],GroupVertices[Vertex],0)),1,1,"")</f>
        <v>1</v>
      </c>
      <c r="AG210" s="83" t="str">
        <f>REPLACE(INDEX(GroupVertices[Group],MATCH(Edges[[#This Row],[Vertex 2]],GroupVertices[Vertex],0)),1,1,"")</f>
        <v>1</v>
      </c>
      <c r="AH210" s="111">
        <v>1</v>
      </c>
      <c r="AI210" s="112">
        <v>1.8518518518518519</v>
      </c>
      <c r="AJ210" s="111">
        <v>0</v>
      </c>
      <c r="AK210" s="112">
        <v>0</v>
      </c>
      <c r="AL210" s="111">
        <v>0</v>
      </c>
      <c r="AM210" s="112">
        <v>0</v>
      </c>
      <c r="AN210" s="111">
        <v>53</v>
      </c>
      <c r="AO210" s="112">
        <v>98.14814814814815</v>
      </c>
      <c r="AP210" s="111">
        <v>54</v>
      </c>
    </row>
    <row r="211" spans="1:42" ht="15">
      <c r="A211" s="65" t="s">
        <v>369</v>
      </c>
      <c r="B211" s="65" t="s">
        <v>489</v>
      </c>
      <c r="C211" s="66" t="s">
        <v>2946</v>
      </c>
      <c r="D211" s="67">
        <v>10</v>
      </c>
      <c r="E211" s="68"/>
      <c r="F211" s="69">
        <v>15</v>
      </c>
      <c r="G211" s="66"/>
      <c r="H211" s="70"/>
      <c r="I211" s="71"/>
      <c r="J211" s="71"/>
      <c r="K211" s="35" t="s">
        <v>66</v>
      </c>
      <c r="L211" s="79">
        <v>211</v>
      </c>
      <c r="M211" s="79"/>
      <c r="N211" s="73"/>
      <c r="O211" s="81" t="s">
        <v>564</v>
      </c>
      <c r="P211" s="81" t="s">
        <v>566</v>
      </c>
      <c r="Q211" s="84" t="s">
        <v>772</v>
      </c>
      <c r="R211" s="81" t="s">
        <v>369</v>
      </c>
      <c r="S211" s="81" t="s">
        <v>882</v>
      </c>
      <c r="T211" s="86" t="str">
        <f>HYPERLINK("http://www.youtube.com/channel/UCerAw4EfTOnYYxLLPZAzMxQ")</f>
        <v>http://www.youtube.com/channel/UCerAw4EfTOnYYxLLPZAzMxQ</v>
      </c>
      <c r="U211" s="81" t="s">
        <v>1077</v>
      </c>
      <c r="V211" s="81" t="s">
        <v>1128</v>
      </c>
      <c r="W211" s="86" t="str">
        <f>HYPERLINK("https://www.youtube.com/watch?v=")</f>
        <v>https://www.youtube.com/watch?v=</v>
      </c>
      <c r="X211" s="81" t="s">
        <v>1183</v>
      </c>
      <c r="Y211" s="81">
        <v>0</v>
      </c>
      <c r="Z211" s="88">
        <v>42172.89104166667</v>
      </c>
      <c r="AA211" s="88">
        <v>42172.89104166667</v>
      </c>
      <c r="AB211" s="81"/>
      <c r="AC211" s="81"/>
      <c r="AD211" s="84" t="s">
        <v>1239</v>
      </c>
      <c r="AE211" s="82">
        <v>6</v>
      </c>
      <c r="AF211" s="83" t="str">
        <f>REPLACE(INDEX(GroupVertices[Group],MATCH(Edges[[#This Row],[Vertex 1]],GroupVertices[Vertex],0)),1,1,"")</f>
        <v>1</v>
      </c>
      <c r="AG211" s="83" t="str">
        <f>REPLACE(INDEX(GroupVertices[Group],MATCH(Edges[[#This Row],[Vertex 2]],GroupVertices[Vertex],0)),1,1,"")</f>
        <v>1</v>
      </c>
      <c r="AH211" s="111">
        <v>3</v>
      </c>
      <c r="AI211" s="112">
        <v>7.142857142857143</v>
      </c>
      <c r="AJ211" s="111">
        <v>0</v>
      </c>
      <c r="AK211" s="112">
        <v>0</v>
      </c>
      <c r="AL211" s="111">
        <v>0</v>
      </c>
      <c r="AM211" s="112">
        <v>0</v>
      </c>
      <c r="AN211" s="111">
        <v>39</v>
      </c>
      <c r="AO211" s="112">
        <v>92.85714285714286</v>
      </c>
      <c r="AP211" s="111">
        <v>42</v>
      </c>
    </row>
    <row r="212" spans="1:42" ht="15">
      <c r="A212" s="65" t="s">
        <v>489</v>
      </c>
      <c r="B212" s="65" t="s">
        <v>489</v>
      </c>
      <c r="C212" s="66" t="s">
        <v>2944</v>
      </c>
      <c r="D212" s="67">
        <v>5.8</v>
      </c>
      <c r="E212" s="68"/>
      <c r="F212" s="69">
        <v>30</v>
      </c>
      <c r="G212" s="66"/>
      <c r="H212" s="70"/>
      <c r="I212" s="71"/>
      <c r="J212" s="71"/>
      <c r="K212" s="35" t="s">
        <v>65</v>
      </c>
      <c r="L212" s="79">
        <v>212</v>
      </c>
      <c r="M212" s="79"/>
      <c r="N212" s="73"/>
      <c r="O212" s="81" t="s">
        <v>564</v>
      </c>
      <c r="P212" s="81" t="s">
        <v>566</v>
      </c>
      <c r="Q212" s="84" t="s">
        <v>773</v>
      </c>
      <c r="R212" s="81" t="s">
        <v>489</v>
      </c>
      <c r="S212" s="81" t="s">
        <v>1002</v>
      </c>
      <c r="T212" s="86" t="str">
        <f>HYPERLINK("http://www.youtube.com/channel/UCd0sHnrF1NVw90DF39XEKDQ")</f>
        <v>http://www.youtube.com/channel/UCd0sHnrF1NVw90DF39XEKDQ</v>
      </c>
      <c r="U212" s="81" t="s">
        <v>1077</v>
      </c>
      <c r="V212" s="81" t="s">
        <v>1128</v>
      </c>
      <c r="W212" s="86" t="str">
        <f>HYPERLINK("https://www.youtube.com/watch?v=")</f>
        <v>https://www.youtube.com/watch?v=</v>
      </c>
      <c r="X212" s="81" t="s">
        <v>1183</v>
      </c>
      <c r="Y212" s="81">
        <v>0</v>
      </c>
      <c r="Z212" s="88">
        <v>42173.26091435185</v>
      </c>
      <c r="AA212" s="88">
        <v>42173.26091435185</v>
      </c>
      <c r="AB212" s="81"/>
      <c r="AC212" s="81"/>
      <c r="AD212" s="84" t="s">
        <v>1239</v>
      </c>
      <c r="AE212" s="82">
        <v>3</v>
      </c>
      <c r="AF212" s="83" t="str">
        <f>REPLACE(INDEX(GroupVertices[Group],MATCH(Edges[[#This Row],[Vertex 1]],GroupVertices[Vertex],0)),1,1,"")</f>
        <v>1</v>
      </c>
      <c r="AG212" s="83" t="str">
        <f>REPLACE(INDEX(GroupVertices[Group],MATCH(Edges[[#This Row],[Vertex 2]],GroupVertices[Vertex],0)),1,1,"")</f>
        <v>1</v>
      </c>
      <c r="AH212" s="111">
        <v>0</v>
      </c>
      <c r="AI212" s="112">
        <v>0</v>
      </c>
      <c r="AJ212" s="111">
        <v>0</v>
      </c>
      <c r="AK212" s="112">
        <v>0</v>
      </c>
      <c r="AL212" s="111">
        <v>0</v>
      </c>
      <c r="AM212" s="112">
        <v>0</v>
      </c>
      <c r="AN212" s="111">
        <v>93</v>
      </c>
      <c r="AO212" s="112">
        <v>100</v>
      </c>
      <c r="AP212" s="111">
        <v>93</v>
      </c>
    </row>
    <row r="213" spans="1:42" ht="15">
      <c r="A213" s="65" t="s">
        <v>369</v>
      </c>
      <c r="B213" s="65" t="s">
        <v>489</v>
      </c>
      <c r="C213" s="66" t="s">
        <v>2946</v>
      </c>
      <c r="D213" s="67">
        <v>10</v>
      </c>
      <c r="E213" s="68"/>
      <c r="F213" s="69">
        <v>15</v>
      </c>
      <c r="G213" s="66"/>
      <c r="H213" s="70"/>
      <c r="I213" s="71"/>
      <c r="J213" s="71"/>
      <c r="K213" s="35" t="s">
        <v>66</v>
      </c>
      <c r="L213" s="79">
        <v>213</v>
      </c>
      <c r="M213" s="79"/>
      <c r="N213" s="73"/>
      <c r="O213" s="81" t="s">
        <v>564</v>
      </c>
      <c r="P213" s="81" t="s">
        <v>566</v>
      </c>
      <c r="Q213" s="84" t="s">
        <v>774</v>
      </c>
      <c r="R213" s="81" t="s">
        <v>369</v>
      </c>
      <c r="S213" s="81" t="s">
        <v>882</v>
      </c>
      <c r="T213" s="86" t="str">
        <f>HYPERLINK("http://www.youtube.com/channel/UCerAw4EfTOnYYxLLPZAzMxQ")</f>
        <v>http://www.youtube.com/channel/UCerAw4EfTOnYYxLLPZAzMxQ</v>
      </c>
      <c r="U213" s="81" t="s">
        <v>1077</v>
      </c>
      <c r="V213" s="81" t="s">
        <v>1128</v>
      </c>
      <c r="W213" s="86" t="str">
        <f>HYPERLINK("https://www.youtube.com/watch?v=")</f>
        <v>https://www.youtube.com/watch?v=</v>
      </c>
      <c r="X213" s="81" t="s">
        <v>1183</v>
      </c>
      <c r="Y213" s="81">
        <v>1</v>
      </c>
      <c r="Z213" s="88">
        <v>42173.630532407406</v>
      </c>
      <c r="AA213" s="88">
        <v>42173.630532407406</v>
      </c>
      <c r="AB213" s="81"/>
      <c r="AC213" s="81"/>
      <c r="AD213" s="84" t="s">
        <v>1239</v>
      </c>
      <c r="AE213" s="82">
        <v>6</v>
      </c>
      <c r="AF213" s="83" t="str">
        <f>REPLACE(INDEX(GroupVertices[Group],MATCH(Edges[[#This Row],[Vertex 1]],GroupVertices[Vertex],0)),1,1,"")</f>
        <v>1</v>
      </c>
      <c r="AG213" s="83" t="str">
        <f>REPLACE(INDEX(GroupVertices[Group],MATCH(Edges[[#This Row],[Vertex 2]],GroupVertices[Vertex],0)),1,1,"")</f>
        <v>1</v>
      </c>
      <c r="AH213" s="111">
        <v>0</v>
      </c>
      <c r="AI213" s="112">
        <v>0</v>
      </c>
      <c r="AJ213" s="111">
        <v>0</v>
      </c>
      <c r="AK213" s="112">
        <v>0</v>
      </c>
      <c r="AL213" s="111">
        <v>0</v>
      </c>
      <c r="AM213" s="112">
        <v>0</v>
      </c>
      <c r="AN213" s="111">
        <v>106</v>
      </c>
      <c r="AO213" s="112">
        <v>100</v>
      </c>
      <c r="AP213" s="111">
        <v>106</v>
      </c>
    </row>
    <row r="214" spans="1:42" ht="15">
      <c r="A214" s="65" t="s">
        <v>489</v>
      </c>
      <c r="B214" s="65" t="s">
        <v>489</v>
      </c>
      <c r="C214" s="66" t="s">
        <v>2944</v>
      </c>
      <c r="D214" s="67">
        <v>5.8</v>
      </c>
      <c r="E214" s="68"/>
      <c r="F214" s="69">
        <v>30</v>
      </c>
      <c r="G214" s="66"/>
      <c r="H214" s="70"/>
      <c r="I214" s="71"/>
      <c r="J214" s="71"/>
      <c r="K214" s="35" t="s">
        <v>65</v>
      </c>
      <c r="L214" s="79">
        <v>214</v>
      </c>
      <c r="M214" s="79"/>
      <c r="N214" s="73"/>
      <c r="O214" s="81" t="s">
        <v>564</v>
      </c>
      <c r="P214" s="81" t="s">
        <v>566</v>
      </c>
      <c r="Q214" s="84" t="s">
        <v>775</v>
      </c>
      <c r="R214" s="81" t="s">
        <v>489</v>
      </c>
      <c r="S214" s="81" t="s">
        <v>1002</v>
      </c>
      <c r="T214" s="86" t="str">
        <f>HYPERLINK("http://www.youtube.com/channel/UCd0sHnrF1NVw90DF39XEKDQ")</f>
        <v>http://www.youtube.com/channel/UCd0sHnrF1NVw90DF39XEKDQ</v>
      </c>
      <c r="U214" s="81" t="s">
        <v>1077</v>
      </c>
      <c r="V214" s="81" t="s">
        <v>1128</v>
      </c>
      <c r="W214" s="86" t="str">
        <f>HYPERLINK("https://www.youtube.com/watch?v=")</f>
        <v>https://www.youtube.com/watch?v=</v>
      </c>
      <c r="X214" s="81" t="s">
        <v>1183</v>
      </c>
      <c r="Y214" s="81">
        <v>0</v>
      </c>
      <c r="Z214" s="88">
        <v>42174.40511574074</v>
      </c>
      <c r="AA214" s="88">
        <v>42174.40511574074</v>
      </c>
      <c r="AB214" s="81"/>
      <c r="AC214" s="81"/>
      <c r="AD214" s="84" t="s">
        <v>1239</v>
      </c>
      <c r="AE214" s="82">
        <v>3</v>
      </c>
      <c r="AF214" s="83" t="str">
        <f>REPLACE(INDEX(GroupVertices[Group],MATCH(Edges[[#This Row],[Vertex 1]],GroupVertices[Vertex],0)),1,1,"")</f>
        <v>1</v>
      </c>
      <c r="AG214" s="83" t="str">
        <f>REPLACE(INDEX(GroupVertices[Group],MATCH(Edges[[#This Row],[Vertex 2]],GroupVertices[Vertex],0)),1,1,"")</f>
        <v>1</v>
      </c>
      <c r="AH214" s="111">
        <v>1</v>
      </c>
      <c r="AI214" s="112">
        <v>4.166666666666667</v>
      </c>
      <c r="AJ214" s="111">
        <v>0</v>
      </c>
      <c r="AK214" s="112">
        <v>0</v>
      </c>
      <c r="AL214" s="111">
        <v>0</v>
      </c>
      <c r="AM214" s="112">
        <v>0</v>
      </c>
      <c r="AN214" s="111">
        <v>23</v>
      </c>
      <c r="AO214" s="112">
        <v>95.83333333333333</v>
      </c>
      <c r="AP214" s="111">
        <v>24</v>
      </c>
    </row>
    <row r="215" spans="1:42" ht="15">
      <c r="A215" s="65" t="s">
        <v>489</v>
      </c>
      <c r="B215" s="65" t="s">
        <v>369</v>
      </c>
      <c r="C215" s="66" t="s">
        <v>2947</v>
      </c>
      <c r="D215" s="67">
        <v>10</v>
      </c>
      <c r="E215" s="68"/>
      <c r="F215" s="69">
        <v>15</v>
      </c>
      <c r="G215" s="66"/>
      <c r="H215" s="70"/>
      <c r="I215" s="71"/>
      <c r="J215" s="71"/>
      <c r="K215" s="35" t="s">
        <v>66</v>
      </c>
      <c r="L215" s="79">
        <v>215</v>
      </c>
      <c r="M215" s="79"/>
      <c r="N215" s="73"/>
      <c r="O215" s="81" t="s">
        <v>563</v>
      </c>
      <c r="P215" s="81" t="s">
        <v>325</v>
      </c>
      <c r="Q215" s="84" t="s">
        <v>776</v>
      </c>
      <c r="R215" s="81" t="s">
        <v>489</v>
      </c>
      <c r="S215" s="81" t="s">
        <v>1002</v>
      </c>
      <c r="T215" s="86" t="str">
        <f>HYPERLINK("http://www.youtube.com/channel/UCd0sHnrF1NVw90DF39XEKDQ")</f>
        <v>http://www.youtube.com/channel/UCd0sHnrF1NVw90DF39XEKDQ</v>
      </c>
      <c r="U215" s="81"/>
      <c r="V215" s="81" t="s">
        <v>1128</v>
      </c>
      <c r="W215" s="86" t="str">
        <f>HYPERLINK("https://www.youtube.com/watch?v=PC-PgkhpsNc")</f>
        <v>https://www.youtube.com/watch?v=PC-PgkhpsNc</v>
      </c>
      <c r="X215" s="81" t="s">
        <v>1183</v>
      </c>
      <c r="Y215" s="81">
        <v>0</v>
      </c>
      <c r="Z215" s="88">
        <v>42172.47415509259</v>
      </c>
      <c r="AA215" s="88">
        <v>42172.47415509259</v>
      </c>
      <c r="AB215" s="81"/>
      <c r="AC215" s="81"/>
      <c r="AD215" s="84" t="s">
        <v>1239</v>
      </c>
      <c r="AE215" s="82">
        <v>7</v>
      </c>
      <c r="AF215" s="83" t="str">
        <f>REPLACE(INDEX(GroupVertices[Group],MATCH(Edges[[#This Row],[Vertex 1]],GroupVertices[Vertex],0)),1,1,"")</f>
        <v>1</v>
      </c>
      <c r="AG215" s="83" t="str">
        <f>REPLACE(INDEX(GroupVertices[Group],MATCH(Edges[[#This Row],[Vertex 2]],GroupVertices[Vertex],0)),1,1,"")</f>
        <v>1</v>
      </c>
      <c r="AH215" s="111">
        <v>0</v>
      </c>
      <c r="AI215" s="112">
        <v>0</v>
      </c>
      <c r="AJ215" s="111">
        <v>0</v>
      </c>
      <c r="AK215" s="112">
        <v>0</v>
      </c>
      <c r="AL215" s="111">
        <v>0</v>
      </c>
      <c r="AM215" s="112">
        <v>0</v>
      </c>
      <c r="AN215" s="111">
        <v>17</v>
      </c>
      <c r="AO215" s="112">
        <v>100</v>
      </c>
      <c r="AP215" s="111">
        <v>17</v>
      </c>
    </row>
    <row r="216" spans="1:42" ht="15">
      <c r="A216" s="65" t="s">
        <v>369</v>
      </c>
      <c r="B216" s="65" t="s">
        <v>489</v>
      </c>
      <c r="C216" s="66" t="s">
        <v>2946</v>
      </c>
      <c r="D216" s="67">
        <v>10</v>
      </c>
      <c r="E216" s="68"/>
      <c r="F216" s="69">
        <v>15</v>
      </c>
      <c r="G216" s="66"/>
      <c r="H216" s="70"/>
      <c r="I216" s="71"/>
      <c r="J216" s="71"/>
      <c r="K216" s="35" t="s">
        <v>66</v>
      </c>
      <c r="L216" s="79">
        <v>216</v>
      </c>
      <c r="M216" s="79"/>
      <c r="N216" s="73"/>
      <c r="O216" s="81" t="s">
        <v>564</v>
      </c>
      <c r="P216" s="81" t="s">
        <v>566</v>
      </c>
      <c r="Q216" s="84" t="s">
        <v>777</v>
      </c>
      <c r="R216" s="81" t="s">
        <v>369</v>
      </c>
      <c r="S216" s="81" t="s">
        <v>882</v>
      </c>
      <c r="T216" s="86" t="str">
        <f>HYPERLINK("http://www.youtube.com/channel/UCerAw4EfTOnYYxLLPZAzMxQ")</f>
        <v>http://www.youtube.com/channel/UCerAw4EfTOnYYxLLPZAzMxQ</v>
      </c>
      <c r="U216" s="81" t="s">
        <v>1078</v>
      </c>
      <c r="V216" s="81" t="s">
        <v>1128</v>
      </c>
      <c r="W216" s="86" t="str">
        <f>HYPERLINK("https://www.youtube.com/watch?v=PC-PgkhpsNc")</f>
        <v>https://www.youtube.com/watch?v=PC-PgkhpsNc</v>
      </c>
      <c r="X216" s="81" t="s">
        <v>1183</v>
      </c>
      <c r="Y216" s="81">
        <v>0</v>
      </c>
      <c r="Z216" s="88">
        <v>42212.6202662037</v>
      </c>
      <c r="AA216" s="88">
        <v>42212.6202662037</v>
      </c>
      <c r="AB216" s="81" t="s">
        <v>1205</v>
      </c>
      <c r="AC216" s="81" t="s">
        <v>1233</v>
      </c>
      <c r="AD216" s="84" t="s">
        <v>1239</v>
      </c>
      <c r="AE216" s="82">
        <v>6</v>
      </c>
      <c r="AF216" s="83" t="str">
        <f>REPLACE(INDEX(GroupVertices[Group],MATCH(Edges[[#This Row],[Vertex 1]],GroupVertices[Vertex],0)),1,1,"")</f>
        <v>1</v>
      </c>
      <c r="AG216" s="83" t="str">
        <f>REPLACE(INDEX(GroupVertices[Group],MATCH(Edges[[#This Row],[Vertex 2]],GroupVertices[Vertex],0)),1,1,"")</f>
        <v>1</v>
      </c>
      <c r="AH216" s="111">
        <v>0</v>
      </c>
      <c r="AI216" s="112">
        <v>0</v>
      </c>
      <c r="AJ216" s="111">
        <v>0</v>
      </c>
      <c r="AK216" s="112">
        <v>0</v>
      </c>
      <c r="AL216" s="111">
        <v>0</v>
      </c>
      <c r="AM216" s="112">
        <v>0</v>
      </c>
      <c r="AN216" s="111">
        <v>143</v>
      </c>
      <c r="AO216" s="112">
        <v>100</v>
      </c>
      <c r="AP216" s="111">
        <v>143</v>
      </c>
    </row>
    <row r="217" spans="1:42" ht="15">
      <c r="A217" s="65" t="s">
        <v>489</v>
      </c>
      <c r="B217" s="65" t="s">
        <v>369</v>
      </c>
      <c r="C217" s="66" t="s">
        <v>2947</v>
      </c>
      <c r="D217" s="67">
        <v>10</v>
      </c>
      <c r="E217" s="68"/>
      <c r="F217" s="69">
        <v>15</v>
      </c>
      <c r="G217" s="66"/>
      <c r="H217" s="70"/>
      <c r="I217" s="71"/>
      <c r="J217" s="71"/>
      <c r="K217" s="35" t="s">
        <v>66</v>
      </c>
      <c r="L217" s="79">
        <v>217</v>
      </c>
      <c r="M217" s="79"/>
      <c r="N217" s="73"/>
      <c r="O217" s="81" t="s">
        <v>563</v>
      </c>
      <c r="P217" s="81" t="s">
        <v>325</v>
      </c>
      <c r="Q217" s="84" t="s">
        <v>778</v>
      </c>
      <c r="R217" s="81" t="s">
        <v>489</v>
      </c>
      <c r="S217" s="81" t="s">
        <v>1002</v>
      </c>
      <c r="T217" s="86" t="str">
        <f>HYPERLINK("http://www.youtube.com/channel/UCd0sHnrF1NVw90DF39XEKDQ")</f>
        <v>http://www.youtube.com/channel/UCd0sHnrF1NVw90DF39XEKDQ</v>
      </c>
      <c r="U217" s="81"/>
      <c r="V217" s="81" t="s">
        <v>1128</v>
      </c>
      <c r="W217" s="86" t="str">
        <f>HYPERLINK("https://www.youtube.com/watch?v=PC-PgkhpsNc")</f>
        <v>https://www.youtube.com/watch?v=PC-PgkhpsNc</v>
      </c>
      <c r="X217" s="81" t="s">
        <v>1183</v>
      </c>
      <c r="Y217" s="81">
        <v>0</v>
      </c>
      <c r="Z217" s="88">
        <v>42212.583090277774</v>
      </c>
      <c r="AA217" s="88">
        <v>42212.583090277774</v>
      </c>
      <c r="AB217" s="81"/>
      <c r="AC217" s="81"/>
      <c r="AD217" s="84" t="s">
        <v>1239</v>
      </c>
      <c r="AE217" s="82">
        <v>7</v>
      </c>
      <c r="AF217" s="83" t="str">
        <f>REPLACE(INDEX(GroupVertices[Group],MATCH(Edges[[#This Row],[Vertex 1]],GroupVertices[Vertex],0)),1,1,"")</f>
        <v>1</v>
      </c>
      <c r="AG217" s="83" t="str">
        <f>REPLACE(INDEX(GroupVertices[Group],MATCH(Edges[[#This Row],[Vertex 2]],GroupVertices[Vertex],0)),1,1,"")</f>
        <v>1</v>
      </c>
      <c r="AH217" s="111">
        <v>0</v>
      </c>
      <c r="AI217" s="112">
        <v>0</v>
      </c>
      <c r="AJ217" s="111">
        <v>0</v>
      </c>
      <c r="AK217" s="112">
        <v>0</v>
      </c>
      <c r="AL217" s="111">
        <v>0</v>
      </c>
      <c r="AM217" s="112">
        <v>0</v>
      </c>
      <c r="AN217" s="111">
        <v>43</v>
      </c>
      <c r="AO217" s="112">
        <v>100</v>
      </c>
      <c r="AP217" s="111">
        <v>43</v>
      </c>
    </row>
    <row r="218" spans="1:42" ht="15">
      <c r="A218" s="65" t="s">
        <v>489</v>
      </c>
      <c r="B218" s="65" t="s">
        <v>369</v>
      </c>
      <c r="C218" s="66" t="s">
        <v>2947</v>
      </c>
      <c r="D218" s="67">
        <v>10</v>
      </c>
      <c r="E218" s="68"/>
      <c r="F218" s="69">
        <v>15</v>
      </c>
      <c r="G218" s="66"/>
      <c r="H218" s="70"/>
      <c r="I218" s="71"/>
      <c r="J218" s="71"/>
      <c r="K218" s="35" t="s">
        <v>66</v>
      </c>
      <c r="L218" s="79">
        <v>218</v>
      </c>
      <c r="M218" s="79"/>
      <c r="N218" s="73"/>
      <c r="O218" s="81" t="s">
        <v>563</v>
      </c>
      <c r="P218" s="81" t="s">
        <v>325</v>
      </c>
      <c r="Q218" s="84" t="s">
        <v>779</v>
      </c>
      <c r="R218" s="81" t="s">
        <v>489</v>
      </c>
      <c r="S218" s="81" t="s">
        <v>1002</v>
      </c>
      <c r="T218" s="86" t="str">
        <f>HYPERLINK("http://www.youtube.com/channel/UCd0sHnrF1NVw90DF39XEKDQ")</f>
        <v>http://www.youtube.com/channel/UCd0sHnrF1NVw90DF39XEKDQ</v>
      </c>
      <c r="U218" s="81"/>
      <c r="V218" s="81" t="s">
        <v>1128</v>
      </c>
      <c r="W218" s="86" t="str">
        <f>HYPERLINK("https://www.youtube.com/watch?v=PC-PgkhpsNc")</f>
        <v>https://www.youtube.com/watch?v=PC-PgkhpsNc</v>
      </c>
      <c r="X218" s="81" t="s">
        <v>1183</v>
      </c>
      <c r="Y218" s="81">
        <v>0</v>
      </c>
      <c r="Z218" s="88">
        <v>42213.397256944445</v>
      </c>
      <c r="AA218" s="88">
        <v>42213.397256944445</v>
      </c>
      <c r="AB218" s="81" t="s">
        <v>1206</v>
      </c>
      <c r="AC218" s="81" t="s">
        <v>1220</v>
      </c>
      <c r="AD218" s="84" t="s">
        <v>1239</v>
      </c>
      <c r="AE218" s="82">
        <v>7</v>
      </c>
      <c r="AF218" s="83" t="str">
        <f>REPLACE(INDEX(GroupVertices[Group],MATCH(Edges[[#This Row],[Vertex 1]],GroupVertices[Vertex],0)),1,1,"")</f>
        <v>1</v>
      </c>
      <c r="AG218" s="83" t="str">
        <f>REPLACE(INDEX(GroupVertices[Group],MATCH(Edges[[#This Row],[Vertex 2]],GroupVertices[Vertex],0)),1,1,"")</f>
        <v>1</v>
      </c>
      <c r="AH218" s="111">
        <v>3</v>
      </c>
      <c r="AI218" s="112">
        <v>2.8846153846153846</v>
      </c>
      <c r="AJ218" s="111">
        <v>0</v>
      </c>
      <c r="AK218" s="112">
        <v>0</v>
      </c>
      <c r="AL218" s="111">
        <v>0</v>
      </c>
      <c r="AM218" s="112">
        <v>0</v>
      </c>
      <c r="AN218" s="111">
        <v>101</v>
      </c>
      <c r="AO218" s="112">
        <v>97.11538461538461</v>
      </c>
      <c r="AP218" s="111">
        <v>104</v>
      </c>
    </row>
    <row r="219" spans="1:42" ht="15">
      <c r="A219" s="65" t="s">
        <v>369</v>
      </c>
      <c r="B219" s="65" t="s">
        <v>490</v>
      </c>
      <c r="C219" s="66" t="s">
        <v>2942</v>
      </c>
      <c r="D219" s="67">
        <v>3</v>
      </c>
      <c r="E219" s="68"/>
      <c r="F219" s="69">
        <v>40</v>
      </c>
      <c r="G219" s="66"/>
      <c r="H219" s="70"/>
      <c r="I219" s="71"/>
      <c r="J219" s="71"/>
      <c r="K219" s="35" t="s">
        <v>66</v>
      </c>
      <c r="L219" s="79">
        <v>219</v>
      </c>
      <c r="M219" s="79"/>
      <c r="N219" s="73"/>
      <c r="O219" s="81" t="s">
        <v>564</v>
      </c>
      <c r="P219" s="81" t="s">
        <v>566</v>
      </c>
      <c r="Q219" s="84" t="s">
        <v>780</v>
      </c>
      <c r="R219" s="81" t="s">
        <v>369</v>
      </c>
      <c r="S219" s="81" t="s">
        <v>882</v>
      </c>
      <c r="T219" s="86" t="str">
        <f>HYPERLINK("http://www.youtube.com/channel/UCerAw4EfTOnYYxLLPZAzMxQ")</f>
        <v>http://www.youtube.com/channel/UCerAw4EfTOnYYxLLPZAzMxQ</v>
      </c>
      <c r="U219" s="81" t="s">
        <v>1079</v>
      </c>
      <c r="V219" s="81" t="s">
        <v>1128</v>
      </c>
      <c r="W219" s="86" t="str">
        <f>HYPERLINK("https://www.youtube.com/watch?v=PC-PgkhpsNc")</f>
        <v>https://www.youtube.com/watch?v=PC-PgkhpsNc</v>
      </c>
      <c r="X219" s="81" t="s">
        <v>1183</v>
      </c>
      <c r="Y219" s="81">
        <v>0</v>
      </c>
      <c r="Z219" s="88">
        <v>42452.48038194444</v>
      </c>
      <c r="AA219" s="88">
        <v>42452.48038194444</v>
      </c>
      <c r="AB219" s="81"/>
      <c r="AC219" s="81"/>
      <c r="AD219" s="84" t="s">
        <v>1239</v>
      </c>
      <c r="AE219" s="82">
        <v>1</v>
      </c>
      <c r="AF219" s="83" t="str">
        <f>REPLACE(INDEX(GroupVertices[Group],MATCH(Edges[[#This Row],[Vertex 1]],GroupVertices[Vertex],0)),1,1,"")</f>
        <v>1</v>
      </c>
      <c r="AG219" s="83" t="str">
        <f>REPLACE(INDEX(GroupVertices[Group],MATCH(Edges[[#This Row],[Vertex 2]],GroupVertices[Vertex],0)),1,1,"")</f>
        <v>1</v>
      </c>
      <c r="AH219" s="111">
        <v>1</v>
      </c>
      <c r="AI219" s="112">
        <v>1.3157894736842106</v>
      </c>
      <c r="AJ219" s="111">
        <v>0</v>
      </c>
      <c r="AK219" s="112">
        <v>0</v>
      </c>
      <c r="AL219" s="111">
        <v>0</v>
      </c>
      <c r="AM219" s="112">
        <v>0</v>
      </c>
      <c r="AN219" s="111">
        <v>75</v>
      </c>
      <c r="AO219" s="112">
        <v>98.6842105263158</v>
      </c>
      <c r="AP219" s="111">
        <v>76</v>
      </c>
    </row>
    <row r="220" spans="1:42" ht="15">
      <c r="A220" s="65" t="s">
        <v>490</v>
      </c>
      <c r="B220" s="65" t="s">
        <v>490</v>
      </c>
      <c r="C220" s="66" t="s">
        <v>2942</v>
      </c>
      <c r="D220" s="67">
        <v>3</v>
      </c>
      <c r="E220" s="68"/>
      <c r="F220" s="69">
        <v>40</v>
      </c>
      <c r="G220" s="66"/>
      <c r="H220" s="70"/>
      <c r="I220" s="71"/>
      <c r="J220" s="71"/>
      <c r="K220" s="35" t="s">
        <v>65</v>
      </c>
      <c r="L220" s="79">
        <v>220</v>
      </c>
      <c r="M220" s="79"/>
      <c r="N220" s="73"/>
      <c r="O220" s="81" t="s">
        <v>564</v>
      </c>
      <c r="P220" s="81" t="s">
        <v>566</v>
      </c>
      <c r="Q220" s="84" t="s">
        <v>781</v>
      </c>
      <c r="R220" s="81" t="s">
        <v>490</v>
      </c>
      <c r="S220" s="81" t="s">
        <v>1003</v>
      </c>
      <c r="T220" s="86" t="str">
        <f>HYPERLINK("http://www.youtube.com/channel/UC9AMcBHhYQKbFy83LwC70Fg")</f>
        <v>http://www.youtube.com/channel/UC9AMcBHhYQKbFy83LwC70Fg</v>
      </c>
      <c r="U220" s="81" t="s">
        <v>1079</v>
      </c>
      <c r="V220" s="81" t="s">
        <v>1128</v>
      </c>
      <c r="W220" s="86" t="str">
        <f>HYPERLINK("https://www.youtube.com/watch?v=PC-PgkhpsNc")</f>
        <v>https://www.youtube.com/watch?v=PC-PgkhpsNc</v>
      </c>
      <c r="X220" s="81" t="s">
        <v>1183</v>
      </c>
      <c r="Y220" s="81">
        <v>0</v>
      </c>
      <c r="Z220" s="88">
        <v>42452.876909722225</v>
      </c>
      <c r="AA220" s="88">
        <v>42452.876909722225</v>
      </c>
      <c r="AB220" s="81"/>
      <c r="AC220" s="81"/>
      <c r="AD220" s="84" t="s">
        <v>1239</v>
      </c>
      <c r="AE220" s="82">
        <v>1</v>
      </c>
      <c r="AF220" s="83" t="str">
        <f>REPLACE(INDEX(GroupVertices[Group],MATCH(Edges[[#This Row],[Vertex 1]],GroupVertices[Vertex],0)),1,1,"")</f>
        <v>1</v>
      </c>
      <c r="AG220" s="83" t="str">
        <f>REPLACE(INDEX(GroupVertices[Group],MATCH(Edges[[#This Row],[Vertex 2]],GroupVertices[Vertex],0)),1,1,"")</f>
        <v>1</v>
      </c>
      <c r="AH220" s="111">
        <v>1</v>
      </c>
      <c r="AI220" s="112">
        <v>4</v>
      </c>
      <c r="AJ220" s="111">
        <v>2</v>
      </c>
      <c r="AK220" s="112">
        <v>8</v>
      </c>
      <c r="AL220" s="111">
        <v>0</v>
      </c>
      <c r="AM220" s="112">
        <v>0</v>
      </c>
      <c r="AN220" s="111">
        <v>22</v>
      </c>
      <c r="AO220" s="112">
        <v>88</v>
      </c>
      <c r="AP220" s="111">
        <v>25</v>
      </c>
    </row>
    <row r="221" spans="1:42" ht="15">
      <c r="A221" s="65" t="s">
        <v>490</v>
      </c>
      <c r="B221" s="65" t="s">
        <v>369</v>
      </c>
      <c r="C221" s="66" t="s">
        <v>2942</v>
      </c>
      <c r="D221" s="67">
        <v>3</v>
      </c>
      <c r="E221" s="68"/>
      <c r="F221" s="69">
        <v>40</v>
      </c>
      <c r="G221" s="66"/>
      <c r="H221" s="70"/>
      <c r="I221" s="71"/>
      <c r="J221" s="71"/>
      <c r="K221" s="35" t="s">
        <v>66</v>
      </c>
      <c r="L221" s="79">
        <v>221</v>
      </c>
      <c r="M221" s="79"/>
      <c r="N221" s="73"/>
      <c r="O221" s="81" t="s">
        <v>563</v>
      </c>
      <c r="P221" s="81" t="s">
        <v>325</v>
      </c>
      <c r="Q221" s="84" t="s">
        <v>782</v>
      </c>
      <c r="R221" s="81" t="s">
        <v>490</v>
      </c>
      <c r="S221" s="81" t="s">
        <v>1003</v>
      </c>
      <c r="T221" s="86" t="str">
        <f>HYPERLINK("http://www.youtube.com/channel/UC9AMcBHhYQKbFy83LwC70Fg")</f>
        <v>http://www.youtube.com/channel/UC9AMcBHhYQKbFy83LwC70Fg</v>
      </c>
      <c r="U221" s="81"/>
      <c r="V221" s="81" t="s">
        <v>1128</v>
      </c>
      <c r="W221" s="86" t="str">
        <f>HYPERLINK("https://www.youtube.com/watch?v=PC-PgkhpsNc")</f>
        <v>https://www.youtube.com/watch?v=PC-PgkhpsNc</v>
      </c>
      <c r="X221" s="81" t="s">
        <v>1183</v>
      </c>
      <c r="Y221" s="81">
        <v>0</v>
      </c>
      <c r="Z221" s="88">
        <v>42452.158738425926</v>
      </c>
      <c r="AA221" s="88">
        <v>42452.158738425926</v>
      </c>
      <c r="AB221" s="81"/>
      <c r="AC221" s="81"/>
      <c r="AD221" s="84" t="s">
        <v>1239</v>
      </c>
      <c r="AE221" s="82">
        <v>1</v>
      </c>
      <c r="AF221" s="83" t="str">
        <f>REPLACE(INDEX(GroupVertices[Group],MATCH(Edges[[#This Row],[Vertex 1]],GroupVertices[Vertex],0)),1,1,"")</f>
        <v>1</v>
      </c>
      <c r="AG221" s="83" t="str">
        <f>REPLACE(INDEX(GroupVertices[Group],MATCH(Edges[[#This Row],[Vertex 2]],GroupVertices[Vertex],0)),1,1,"")</f>
        <v>1</v>
      </c>
      <c r="AH221" s="111">
        <v>1</v>
      </c>
      <c r="AI221" s="112">
        <v>1</v>
      </c>
      <c r="AJ221" s="111">
        <v>2</v>
      </c>
      <c r="AK221" s="112">
        <v>2</v>
      </c>
      <c r="AL221" s="111">
        <v>0</v>
      </c>
      <c r="AM221" s="112">
        <v>0</v>
      </c>
      <c r="AN221" s="111">
        <v>97</v>
      </c>
      <c r="AO221" s="112">
        <v>97</v>
      </c>
      <c r="AP221" s="111">
        <v>100</v>
      </c>
    </row>
    <row r="222" spans="1:42" ht="15">
      <c r="A222" s="65" t="s">
        <v>369</v>
      </c>
      <c r="B222" s="65" t="s">
        <v>491</v>
      </c>
      <c r="C222" s="66" t="s">
        <v>2943</v>
      </c>
      <c r="D222" s="67">
        <v>4.4</v>
      </c>
      <c r="E222" s="68"/>
      <c r="F222" s="69">
        <v>35</v>
      </c>
      <c r="G222" s="66"/>
      <c r="H222" s="70"/>
      <c r="I222" s="71"/>
      <c r="J222" s="71"/>
      <c r="K222" s="35" t="s">
        <v>66</v>
      </c>
      <c r="L222" s="79">
        <v>222</v>
      </c>
      <c r="M222" s="79"/>
      <c r="N222" s="73"/>
      <c r="O222" s="81" t="s">
        <v>564</v>
      </c>
      <c r="P222" s="81" t="s">
        <v>566</v>
      </c>
      <c r="Q222" s="84" t="s">
        <v>783</v>
      </c>
      <c r="R222" s="81" t="s">
        <v>369</v>
      </c>
      <c r="S222" s="81" t="s">
        <v>882</v>
      </c>
      <c r="T222" s="86" t="str">
        <f>HYPERLINK("http://www.youtube.com/channel/UCerAw4EfTOnYYxLLPZAzMxQ")</f>
        <v>http://www.youtube.com/channel/UCerAw4EfTOnYYxLLPZAzMxQ</v>
      </c>
      <c r="U222" s="81" t="s">
        <v>1080</v>
      </c>
      <c r="V222" s="81" t="s">
        <v>1128</v>
      </c>
      <c r="W222" s="86" t="str">
        <f>HYPERLINK("https://www.youtube.com/watch?v=PC-PgkhpsNc")</f>
        <v>https://www.youtube.com/watch?v=PC-PgkhpsNc</v>
      </c>
      <c r="X222" s="81" t="s">
        <v>1183</v>
      </c>
      <c r="Y222" s="81">
        <v>0</v>
      </c>
      <c r="Z222" s="88">
        <v>42499.965775462966</v>
      </c>
      <c r="AA222" s="88">
        <v>42499.965775462966</v>
      </c>
      <c r="AB222" s="81"/>
      <c r="AC222" s="81"/>
      <c r="AD222" s="84" t="s">
        <v>1239</v>
      </c>
      <c r="AE222" s="82">
        <v>2</v>
      </c>
      <c r="AF222" s="83" t="str">
        <f>REPLACE(INDEX(GroupVertices[Group],MATCH(Edges[[#This Row],[Vertex 1]],GroupVertices[Vertex],0)),1,1,"")</f>
        <v>1</v>
      </c>
      <c r="AG222" s="83" t="str">
        <f>REPLACE(INDEX(GroupVertices[Group],MATCH(Edges[[#This Row],[Vertex 2]],GroupVertices[Vertex],0)),1,1,"")</f>
        <v>1</v>
      </c>
      <c r="AH222" s="111">
        <v>1</v>
      </c>
      <c r="AI222" s="112">
        <v>2.7027027027027026</v>
      </c>
      <c r="AJ222" s="111">
        <v>4</v>
      </c>
      <c r="AK222" s="112">
        <v>10.81081081081081</v>
      </c>
      <c r="AL222" s="111">
        <v>0</v>
      </c>
      <c r="AM222" s="112">
        <v>0</v>
      </c>
      <c r="AN222" s="111">
        <v>32</v>
      </c>
      <c r="AO222" s="112">
        <v>86.48648648648648</v>
      </c>
      <c r="AP222" s="111">
        <v>37</v>
      </c>
    </row>
    <row r="223" spans="1:42" ht="15">
      <c r="A223" s="65" t="s">
        <v>491</v>
      </c>
      <c r="B223" s="65" t="s">
        <v>491</v>
      </c>
      <c r="C223" s="66" t="s">
        <v>2942</v>
      </c>
      <c r="D223" s="67">
        <v>3</v>
      </c>
      <c r="E223" s="68"/>
      <c r="F223" s="69">
        <v>40</v>
      </c>
      <c r="G223" s="66"/>
      <c r="H223" s="70"/>
      <c r="I223" s="71"/>
      <c r="J223" s="71"/>
      <c r="K223" s="35" t="s">
        <v>65</v>
      </c>
      <c r="L223" s="79">
        <v>223</v>
      </c>
      <c r="M223" s="79"/>
      <c r="N223" s="73"/>
      <c r="O223" s="81" t="s">
        <v>564</v>
      </c>
      <c r="P223" s="81" t="s">
        <v>566</v>
      </c>
      <c r="Q223" s="84" t="s">
        <v>784</v>
      </c>
      <c r="R223" s="81" t="s">
        <v>491</v>
      </c>
      <c r="S223" s="81" t="s">
        <v>1004</v>
      </c>
      <c r="T223" s="86" t="str">
        <f>HYPERLINK("http://www.youtube.com/channel/UCQm-eZonEALK3soY6l1QuCA")</f>
        <v>http://www.youtube.com/channel/UCQm-eZonEALK3soY6l1QuCA</v>
      </c>
      <c r="U223" s="81" t="s">
        <v>1080</v>
      </c>
      <c r="V223" s="81" t="s">
        <v>1128</v>
      </c>
      <c r="W223" s="86" t="str">
        <f>HYPERLINK("https://www.youtube.com/watch?v=PC-PgkhpsNc")</f>
        <v>https://www.youtube.com/watch?v=PC-PgkhpsNc</v>
      </c>
      <c r="X223" s="81" t="s">
        <v>1183</v>
      </c>
      <c r="Y223" s="81">
        <v>0</v>
      </c>
      <c r="Z223" s="88">
        <v>42501.78269675926</v>
      </c>
      <c r="AA223" s="88">
        <v>42501.78269675926</v>
      </c>
      <c r="AB223" s="81"/>
      <c r="AC223" s="81"/>
      <c r="AD223" s="84" t="s">
        <v>1239</v>
      </c>
      <c r="AE223" s="82">
        <v>1</v>
      </c>
      <c r="AF223" s="83" t="str">
        <f>REPLACE(INDEX(GroupVertices[Group],MATCH(Edges[[#This Row],[Vertex 1]],GroupVertices[Vertex],0)),1,1,"")</f>
        <v>1</v>
      </c>
      <c r="AG223" s="83" t="str">
        <f>REPLACE(INDEX(GroupVertices[Group],MATCH(Edges[[#This Row],[Vertex 2]],GroupVertices[Vertex],0)),1,1,"")</f>
        <v>1</v>
      </c>
      <c r="AH223" s="111">
        <v>3</v>
      </c>
      <c r="AI223" s="112">
        <v>4.3478260869565215</v>
      </c>
      <c r="AJ223" s="111">
        <v>1</v>
      </c>
      <c r="AK223" s="112">
        <v>1.4492753623188406</v>
      </c>
      <c r="AL223" s="111">
        <v>0</v>
      </c>
      <c r="AM223" s="112">
        <v>0</v>
      </c>
      <c r="AN223" s="111">
        <v>65</v>
      </c>
      <c r="AO223" s="112">
        <v>94.20289855072464</v>
      </c>
      <c r="AP223" s="111">
        <v>69</v>
      </c>
    </row>
    <row r="224" spans="1:42" ht="15">
      <c r="A224" s="65" t="s">
        <v>369</v>
      </c>
      <c r="B224" s="65" t="s">
        <v>491</v>
      </c>
      <c r="C224" s="66" t="s">
        <v>2943</v>
      </c>
      <c r="D224" s="67">
        <v>4.4</v>
      </c>
      <c r="E224" s="68"/>
      <c r="F224" s="69">
        <v>35</v>
      </c>
      <c r="G224" s="66"/>
      <c r="H224" s="70"/>
      <c r="I224" s="71"/>
      <c r="J224" s="71"/>
      <c r="K224" s="35" t="s">
        <v>66</v>
      </c>
      <c r="L224" s="79">
        <v>224</v>
      </c>
      <c r="M224" s="79"/>
      <c r="N224" s="73"/>
      <c r="O224" s="81" t="s">
        <v>564</v>
      </c>
      <c r="P224" s="81" t="s">
        <v>566</v>
      </c>
      <c r="Q224" s="84" t="s">
        <v>785</v>
      </c>
      <c r="R224" s="81" t="s">
        <v>369</v>
      </c>
      <c r="S224" s="81" t="s">
        <v>882</v>
      </c>
      <c r="T224" s="86" t="str">
        <f>HYPERLINK("http://www.youtube.com/channel/UCerAw4EfTOnYYxLLPZAzMxQ")</f>
        <v>http://www.youtube.com/channel/UCerAw4EfTOnYYxLLPZAzMxQ</v>
      </c>
      <c r="U224" s="81" t="s">
        <v>1080</v>
      </c>
      <c r="V224" s="81" t="s">
        <v>1128</v>
      </c>
      <c r="W224" s="86" t="str">
        <f>HYPERLINK("https://www.youtube.com/watch?v=PC-PgkhpsNc")</f>
        <v>https://www.youtube.com/watch?v=PC-PgkhpsNc</v>
      </c>
      <c r="X224" s="81" t="s">
        <v>1183</v>
      </c>
      <c r="Y224" s="81">
        <v>0</v>
      </c>
      <c r="Z224" s="88">
        <v>42502.09976851852</v>
      </c>
      <c r="AA224" s="88">
        <v>42502.09976851852</v>
      </c>
      <c r="AB224" s="81"/>
      <c r="AC224" s="81"/>
      <c r="AD224" s="84" t="s">
        <v>1239</v>
      </c>
      <c r="AE224" s="82">
        <v>2</v>
      </c>
      <c r="AF224" s="83" t="str">
        <f>REPLACE(INDEX(GroupVertices[Group],MATCH(Edges[[#This Row],[Vertex 1]],GroupVertices[Vertex],0)),1,1,"")</f>
        <v>1</v>
      </c>
      <c r="AG224" s="83" t="str">
        <f>REPLACE(INDEX(GroupVertices[Group],MATCH(Edges[[#This Row],[Vertex 2]],GroupVertices[Vertex],0)),1,1,"")</f>
        <v>1</v>
      </c>
      <c r="AH224" s="111">
        <v>0</v>
      </c>
      <c r="AI224" s="112">
        <v>0</v>
      </c>
      <c r="AJ224" s="111">
        <v>3</v>
      </c>
      <c r="AK224" s="112">
        <v>4.838709677419355</v>
      </c>
      <c r="AL224" s="111">
        <v>0</v>
      </c>
      <c r="AM224" s="112">
        <v>0</v>
      </c>
      <c r="AN224" s="111">
        <v>59</v>
      </c>
      <c r="AO224" s="112">
        <v>95.16129032258064</v>
      </c>
      <c r="AP224" s="111">
        <v>62</v>
      </c>
    </row>
    <row r="225" spans="1:42" ht="15">
      <c r="A225" s="65" t="s">
        <v>491</v>
      </c>
      <c r="B225" s="65" t="s">
        <v>369</v>
      </c>
      <c r="C225" s="66" t="s">
        <v>2942</v>
      </c>
      <c r="D225" s="67">
        <v>3</v>
      </c>
      <c r="E225" s="68"/>
      <c r="F225" s="69">
        <v>40</v>
      </c>
      <c r="G225" s="66"/>
      <c r="H225" s="70"/>
      <c r="I225" s="71"/>
      <c r="J225" s="71"/>
      <c r="K225" s="35" t="s">
        <v>66</v>
      </c>
      <c r="L225" s="79">
        <v>225</v>
      </c>
      <c r="M225" s="79"/>
      <c r="N225" s="73"/>
      <c r="O225" s="81" t="s">
        <v>563</v>
      </c>
      <c r="P225" s="81" t="s">
        <v>325</v>
      </c>
      <c r="Q225" s="84" t="s">
        <v>786</v>
      </c>
      <c r="R225" s="81" t="s">
        <v>491</v>
      </c>
      <c r="S225" s="81" t="s">
        <v>1004</v>
      </c>
      <c r="T225" s="86" t="str">
        <f>HYPERLINK("http://www.youtube.com/channel/UCQm-eZonEALK3soY6l1QuCA")</f>
        <v>http://www.youtube.com/channel/UCQm-eZonEALK3soY6l1QuCA</v>
      </c>
      <c r="U225" s="81"/>
      <c r="V225" s="81" t="s">
        <v>1128</v>
      </c>
      <c r="W225" s="86" t="str">
        <f>HYPERLINK("https://www.youtube.com/watch?v=PC-PgkhpsNc")</f>
        <v>https://www.youtube.com/watch?v=PC-PgkhpsNc</v>
      </c>
      <c r="X225" s="81" t="s">
        <v>1183</v>
      </c>
      <c r="Y225" s="81">
        <v>0</v>
      </c>
      <c r="Z225" s="88">
        <v>42499.931608796294</v>
      </c>
      <c r="AA225" s="88">
        <v>42499.931608796294</v>
      </c>
      <c r="AB225" s="81"/>
      <c r="AC225" s="81"/>
      <c r="AD225" s="84" t="s">
        <v>1239</v>
      </c>
      <c r="AE225" s="82">
        <v>1</v>
      </c>
      <c r="AF225" s="83" t="str">
        <f>REPLACE(INDEX(GroupVertices[Group],MATCH(Edges[[#This Row],[Vertex 1]],GroupVertices[Vertex],0)),1,1,"")</f>
        <v>1</v>
      </c>
      <c r="AG225" s="83" t="str">
        <f>REPLACE(INDEX(GroupVertices[Group],MATCH(Edges[[#This Row],[Vertex 2]],GroupVertices[Vertex],0)),1,1,"")</f>
        <v>1</v>
      </c>
      <c r="AH225" s="111">
        <v>2</v>
      </c>
      <c r="AI225" s="112">
        <v>3.1746031746031744</v>
      </c>
      <c r="AJ225" s="111">
        <v>1</v>
      </c>
      <c r="AK225" s="112">
        <v>1.5873015873015872</v>
      </c>
      <c r="AL225" s="111">
        <v>0</v>
      </c>
      <c r="AM225" s="112">
        <v>0</v>
      </c>
      <c r="AN225" s="111">
        <v>60</v>
      </c>
      <c r="AO225" s="112">
        <v>95.23809523809524</v>
      </c>
      <c r="AP225" s="111">
        <v>63</v>
      </c>
    </row>
    <row r="226" spans="1:42" ht="15">
      <c r="A226" s="65" t="s">
        <v>492</v>
      </c>
      <c r="B226" s="65" t="s">
        <v>493</v>
      </c>
      <c r="C226" s="66" t="s">
        <v>2942</v>
      </c>
      <c r="D226" s="67">
        <v>3</v>
      </c>
      <c r="E226" s="68"/>
      <c r="F226" s="69">
        <v>40</v>
      </c>
      <c r="G226" s="66"/>
      <c r="H226" s="70"/>
      <c r="I226" s="71"/>
      <c r="J226" s="71"/>
      <c r="K226" s="35" t="s">
        <v>65</v>
      </c>
      <c r="L226" s="79">
        <v>226</v>
      </c>
      <c r="M226" s="79"/>
      <c r="N226" s="73"/>
      <c r="O226" s="81" t="s">
        <v>564</v>
      </c>
      <c r="P226" s="81" t="s">
        <v>566</v>
      </c>
      <c r="Q226" s="84" t="s">
        <v>787</v>
      </c>
      <c r="R226" s="81" t="s">
        <v>492</v>
      </c>
      <c r="S226" s="81" t="s">
        <v>1005</v>
      </c>
      <c r="T226" s="86" t="str">
        <f>HYPERLINK("http://www.youtube.com/channel/UCgeaB9V_kFKh-hU_yGjNvjw")</f>
        <v>http://www.youtube.com/channel/UCgeaB9V_kFKh-hU_yGjNvjw</v>
      </c>
      <c r="U226" s="81" t="s">
        <v>1081</v>
      </c>
      <c r="V226" s="81" t="s">
        <v>1128</v>
      </c>
      <c r="W226" s="86" t="str">
        <f>HYPERLINK("https://www.youtube.com/watch?v=PC-PgkhpsNc")</f>
        <v>https://www.youtube.com/watch?v=PC-PgkhpsNc</v>
      </c>
      <c r="X226" s="81" t="s">
        <v>1183</v>
      </c>
      <c r="Y226" s="81">
        <v>0</v>
      </c>
      <c r="Z226" s="88">
        <v>43272.65091435185</v>
      </c>
      <c r="AA226" s="88">
        <v>43272.65091435185</v>
      </c>
      <c r="AB226" s="81"/>
      <c r="AC226" s="81"/>
      <c r="AD226" s="84" t="s">
        <v>1239</v>
      </c>
      <c r="AE226" s="82">
        <v>1</v>
      </c>
      <c r="AF226" s="83" t="str">
        <f>REPLACE(INDEX(GroupVertices[Group],MATCH(Edges[[#This Row],[Vertex 1]],GroupVertices[Vertex],0)),1,1,"")</f>
        <v>1</v>
      </c>
      <c r="AG226" s="83" t="str">
        <f>REPLACE(INDEX(GroupVertices[Group],MATCH(Edges[[#This Row],[Vertex 2]],GroupVertices[Vertex],0)),1,1,"")</f>
        <v>1</v>
      </c>
      <c r="AH226" s="111">
        <v>1</v>
      </c>
      <c r="AI226" s="112">
        <v>2.3255813953488373</v>
      </c>
      <c r="AJ226" s="111">
        <v>0</v>
      </c>
      <c r="AK226" s="112">
        <v>0</v>
      </c>
      <c r="AL226" s="111">
        <v>0</v>
      </c>
      <c r="AM226" s="112">
        <v>0</v>
      </c>
      <c r="AN226" s="111">
        <v>42</v>
      </c>
      <c r="AO226" s="112">
        <v>97.67441860465117</v>
      </c>
      <c r="AP226" s="111">
        <v>43</v>
      </c>
    </row>
    <row r="227" spans="1:42" ht="15">
      <c r="A227" s="65" t="s">
        <v>493</v>
      </c>
      <c r="B227" s="65" t="s">
        <v>369</v>
      </c>
      <c r="C227" s="66" t="s">
        <v>2942</v>
      </c>
      <c r="D227" s="67">
        <v>3</v>
      </c>
      <c r="E227" s="68"/>
      <c r="F227" s="69">
        <v>40</v>
      </c>
      <c r="G227" s="66"/>
      <c r="H227" s="70"/>
      <c r="I227" s="71"/>
      <c r="J227" s="71"/>
      <c r="K227" s="35" t="s">
        <v>65</v>
      </c>
      <c r="L227" s="79">
        <v>227</v>
      </c>
      <c r="M227" s="79"/>
      <c r="N227" s="73"/>
      <c r="O227" s="81" t="s">
        <v>563</v>
      </c>
      <c r="P227" s="81" t="s">
        <v>325</v>
      </c>
      <c r="Q227" s="84" t="s">
        <v>788</v>
      </c>
      <c r="R227" s="81" t="s">
        <v>493</v>
      </c>
      <c r="S227" s="81" t="s">
        <v>1006</v>
      </c>
      <c r="T227" s="86" t="str">
        <f>HYPERLINK("http://www.youtube.com/channel/UCPvkSOa9uU8mqNMYuGeYq1w")</f>
        <v>http://www.youtube.com/channel/UCPvkSOa9uU8mqNMYuGeYq1w</v>
      </c>
      <c r="U227" s="81"/>
      <c r="V227" s="81" t="s">
        <v>1128</v>
      </c>
      <c r="W227" s="86" t="str">
        <f>HYPERLINK("https://www.youtube.com/watch?v=PC-PgkhpsNc")</f>
        <v>https://www.youtube.com/watch?v=PC-PgkhpsNc</v>
      </c>
      <c r="X227" s="81" t="s">
        <v>1183</v>
      </c>
      <c r="Y227" s="81">
        <v>0</v>
      </c>
      <c r="Z227" s="88">
        <v>42557.69296296296</v>
      </c>
      <c r="AA227" s="88">
        <v>42557.69296296296</v>
      </c>
      <c r="AB227" s="81"/>
      <c r="AC227" s="81"/>
      <c r="AD227" s="84" t="s">
        <v>1239</v>
      </c>
      <c r="AE227" s="82">
        <v>1</v>
      </c>
      <c r="AF227" s="83" t="str">
        <f>REPLACE(INDEX(GroupVertices[Group],MATCH(Edges[[#This Row],[Vertex 1]],GroupVertices[Vertex],0)),1,1,"")</f>
        <v>1</v>
      </c>
      <c r="AG227" s="83" t="str">
        <f>REPLACE(INDEX(GroupVertices[Group],MATCH(Edges[[#This Row],[Vertex 2]],GroupVertices[Vertex],0)),1,1,"")</f>
        <v>1</v>
      </c>
      <c r="AH227" s="111">
        <v>1</v>
      </c>
      <c r="AI227" s="112">
        <v>7.142857142857143</v>
      </c>
      <c r="AJ227" s="111">
        <v>0</v>
      </c>
      <c r="AK227" s="112">
        <v>0</v>
      </c>
      <c r="AL227" s="111">
        <v>0</v>
      </c>
      <c r="AM227" s="112">
        <v>0</v>
      </c>
      <c r="AN227" s="111">
        <v>13</v>
      </c>
      <c r="AO227" s="112">
        <v>92.85714285714286</v>
      </c>
      <c r="AP227" s="111">
        <v>14</v>
      </c>
    </row>
    <row r="228" spans="1:42" ht="15">
      <c r="A228" s="65" t="s">
        <v>369</v>
      </c>
      <c r="B228" s="65" t="s">
        <v>494</v>
      </c>
      <c r="C228" s="66" t="s">
        <v>2942</v>
      </c>
      <c r="D228" s="67">
        <v>3</v>
      </c>
      <c r="E228" s="68"/>
      <c r="F228" s="69">
        <v>40</v>
      </c>
      <c r="G228" s="66"/>
      <c r="H228" s="70"/>
      <c r="I228" s="71"/>
      <c r="J228" s="71"/>
      <c r="K228" s="35" t="s">
        <v>66</v>
      </c>
      <c r="L228" s="79">
        <v>228</v>
      </c>
      <c r="M228" s="79"/>
      <c r="N228" s="73"/>
      <c r="O228" s="81" t="s">
        <v>564</v>
      </c>
      <c r="P228" s="81" t="s">
        <v>566</v>
      </c>
      <c r="Q228" s="84" t="s">
        <v>789</v>
      </c>
      <c r="R228" s="81" t="s">
        <v>369</v>
      </c>
      <c r="S228" s="81" t="s">
        <v>882</v>
      </c>
      <c r="T228" s="86" t="str">
        <f>HYPERLINK("http://www.youtube.com/channel/UCerAw4EfTOnYYxLLPZAzMxQ")</f>
        <v>http://www.youtube.com/channel/UCerAw4EfTOnYYxLLPZAzMxQ</v>
      </c>
      <c r="U228" s="81" t="s">
        <v>1082</v>
      </c>
      <c r="V228" s="81" t="s">
        <v>1128</v>
      </c>
      <c r="W228" s="86" t="str">
        <f>HYPERLINK("https://www.youtube.com/watch?v=PC-PgkhpsNc")</f>
        <v>https://www.youtube.com/watch?v=PC-PgkhpsNc</v>
      </c>
      <c r="X228" s="81" t="s">
        <v>1183</v>
      </c>
      <c r="Y228" s="81">
        <v>2</v>
      </c>
      <c r="Z228" s="88">
        <v>42577.884375</v>
      </c>
      <c r="AA228" s="88">
        <v>42577.884375</v>
      </c>
      <c r="AB228" s="81"/>
      <c r="AC228" s="81"/>
      <c r="AD228" s="84" t="s">
        <v>1239</v>
      </c>
      <c r="AE228" s="82">
        <v>1</v>
      </c>
      <c r="AF228" s="83" t="str">
        <f>REPLACE(INDEX(GroupVertices[Group],MATCH(Edges[[#This Row],[Vertex 1]],GroupVertices[Vertex],0)),1,1,"")</f>
        <v>1</v>
      </c>
      <c r="AG228" s="83" t="str">
        <f>REPLACE(INDEX(GroupVertices[Group],MATCH(Edges[[#This Row],[Vertex 2]],GroupVertices[Vertex],0)),1,1,"")</f>
        <v>1</v>
      </c>
      <c r="AH228" s="111">
        <v>3</v>
      </c>
      <c r="AI228" s="112">
        <v>6.122448979591836</v>
      </c>
      <c r="AJ228" s="111">
        <v>0</v>
      </c>
      <c r="AK228" s="112">
        <v>0</v>
      </c>
      <c r="AL228" s="111">
        <v>0</v>
      </c>
      <c r="AM228" s="112">
        <v>0</v>
      </c>
      <c r="AN228" s="111">
        <v>46</v>
      </c>
      <c r="AO228" s="112">
        <v>93.87755102040816</v>
      </c>
      <c r="AP228" s="111">
        <v>49</v>
      </c>
    </row>
    <row r="229" spans="1:42" ht="15">
      <c r="A229" s="65" t="s">
        <v>494</v>
      </c>
      <c r="B229" s="65" t="s">
        <v>494</v>
      </c>
      <c r="C229" s="66" t="s">
        <v>2942</v>
      </c>
      <c r="D229" s="67">
        <v>3</v>
      </c>
      <c r="E229" s="68"/>
      <c r="F229" s="69">
        <v>40</v>
      </c>
      <c r="G229" s="66"/>
      <c r="H229" s="70"/>
      <c r="I229" s="71"/>
      <c r="J229" s="71"/>
      <c r="K229" s="35" t="s">
        <v>65</v>
      </c>
      <c r="L229" s="79">
        <v>229</v>
      </c>
      <c r="M229" s="79"/>
      <c r="N229" s="73"/>
      <c r="O229" s="81" t="s">
        <v>564</v>
      </c>
      <c r="P229" s="81" t="s">
        <v>566</v>
      </c>
      <c r="Q229" s="84" t="s">
        <v>790</v>
      </c>
      <c r="R229" s="81" t="s">
        <v>494</v>
      </c>
      <c r="S229" s="81" t="s">
        <v>1007</v>
      </c>
      <c r="T229" s="86" t="str">
        <f>HYPERLINK("http://www.youtube.com/channel/UCnUI6Ssl3FclHjuE2tEYN8w")</f>
        <v>http://www.youtube.com/channel/UCnUI6Ssl3FclHjuE2tEYN8w</v>
      </c>
      <c r="U229" s="81" t="s">
        <v>1082</v>
      </c>
      <c r="V229" s="81" t="s">
        <v>1128</v>
      </c>
      <c r="W229" s="86" t="str">
        <f>HYPERLINK("https://www.youtube.com/watch?v=PC-PgkhpsNc")</f>
        <v>https://www.youtube.com/watch?v=PC-PgkhpsNc</v>
      </c>
      <c r="X229" s="81" t="s">
        <v>1183</v>
      </c>
      <c r="Y229" s="81">
        <v>0</v>
      </c>
      <c r="Z229" s="88">
        <v>42612.87608796296</v>
      </c>
      <c r="AA229" s="88">
        <v>42612.87608796296</v>
      </c>
      <c r="AB229" s="81"/>
      <c r="AC229" s="81"/>
      <c r="AD229" s="84" t="s">
        <v>1239</v>
      </c>
      <c r="AE229" s="82">
        <v>1</v>
      </c>
      <c r="AF229" s="83" t="str">
        <f>REPLACE(INDEX(GroupVertices[Group],MATCH(Edges[[#This Row],[Vertex 1]],GroupVertices[Vertex],0)),1,1,"")</f>
        <v>1</v>
      </c>
      <c r="AG229" s="83" t="str">
        <f>REPLACE(INDEX(GroupVertices[Group],MATCH(Edges[[#This Row],[Vertex 2]],GroupVertices[Vertex],0)),1,1,"")</f>
        <v>1</v>
      </c>
      <c r="AH229" s="111">
        <v>2</v>
      </c>
      <c r="AI229" s="112">
        <v>4.25531914893617</v>
      </c>
      <c r="AJ229" s="111">
        <v>0</v>
      </c>
      <c r="AK229" s="112">
        <v>0</v>
      </c>
      <c r="AL229" s="111">
        <v>0</v>
      </c>
      <c r="AM229" s="112">
        <v>0</v>
      </c>
      <c r="AN229" s="111">
        <v>45</v>
      </c>
      <c r="AO229" s="112">
        <v>95.74468085106383</v>
      </c>
      <c r="AP229" s="111">
        <v>47</v>
      </c>
    </row>
    <row r="230" spans="1:42" ht="15">
      <c r="A230" s="65" t="s">
        <v>494</v>
      </c>
      <c r="B230" s="65" t="s">
        <v>369</v>
      </c>
      <c r="C230" s="66" t="s">
        <v>2942</v>
      </c>
      <c r="D230" s="67">
        <v>3</v>
      </c>
      <c r="E230" s="68"/>
      <c r="F230" s="69">
        <v>40</v>
      </c>
      <c r="G230" s="66"/>
      <c r="H230" s="70"/>
      <c r="I230" s="71"/>
      <c r="J230" s="71"/>
      <c r="K230" s="35" t="s">
        <v>66</v>
      </c>
      <c r="L230" s="79">
        <v>230</v>
      </c>
      <c r="M230" s="79"/>
      <c r="N230" s="73"/>
      <c r="O230" s="81" t="s">
        <v>563</v>
      </c>
      <c r="P230" s="81" t="s">
        <v>325</v>
      </c>
      <c r="Q230" s="84" t="s">
        <v>791</v>
      </c>
      <c r="R230" s="81" t="s">
        <v>494</v>
      </c>
      <c r="S230" s="81" t="s">
        <v>1007</v>
      </c>
      <c r="T230" s="86" t="str">
        <f>HYPERLINK("http://www.youtube.com/channel/UCnUI6Ssl3FclHjuE2tEYN8w")</f>
        <v>http://www.youtube.com/channel/UCnUI6Ssl3FclHjuE2tEYN8w</v>
      </c>
      <c r="U230" s="81"/>
      <c r="V230" s="81" t="s">
        <v>1128</v>
      </c>
      <c r="W230" s="86" t="str">
        <f>HYPERLINK("https://www.youtube.com/watch?v=PC-PgkhpsNc")</f>
        <v>https://www.youtube.com/watch?v=PC-PgkhpsNc</v>
      </c>
      <c r="X230" s="81" t="s">
        <v>1183</v>
      </c>
      <c r="Y230" s="81">
        <v>0</v>
      </c>
      <c r="Z230" s="88">
        <v>42577.881840277776</v>
      </c>
      <c r="AA230" s="88">
        <v>42577.881840277776</v>
      </c>
      <c r="AB230" s="81"/>
      <c r="AC230" s="81"/>
      <c r="AD230" s="84" t="s">
        <v>1239</v>
      </c>
      <c r="AE230" s="82">
        <v>1</v>
      </c>
      <c r="AF230" s="83" t="str">
        <f>REPLACE(INDEX(GroupVertices[Group],MATCH(Edges[[#This Row],[Vertex 1]],GroupVertices[Vertex],0)),1,1,"")</f>
        <v>1</v>
      </c>
      <c r="AG230" s="83" t="str">
        <f>REPLACE(INDEX(GroupVertices[Group],MATCH(Edges[[#This Row],[Vertex 2]],GroupVertices[Vertex],0)),1,1,"")</f>
        <v>1</v>
      </c>
      <c r="AH230" s="111">
        <v>4</v>
      </c>
      <c r="AI230" s="112">
        <v>5.128205128205129</v>
      </c>
      <c r="AJ230" s="111">
        <v>2</v>
      </c>
      <c r="AK230" s="112">
        <v>2.5641025641025643</v>
      </c>
      <c r="AL230" s="111">
        <v>0</v>
      </c>
      <c r="AM230" s="112">
        <v>0</v>
      </c>
      <c r="AN230" s="111">
        <v>72</v>
      </c>
      <c r="AO230" s="112">
        <v>92.3076923076923</v>
      </c>
      <c r="AP230" s="111">
        <v>78</v>
      </c>
    </row>
    <row r="231" spans="1:42" ht="15">
      <c r="A231" s="65" t="s">
        <v>369</v>
      </c>
      <c r="B231" s="65" t="s">
        <v>495</v>
      </c>
      <c r="C231" s="66" t="s">
        <v>2942</v>
      </c>
      <c r="D231" s="67">
        <v>3</v>
      </c>
      <c r="E231" s="68"/>
      <c r="F231" s="69">
        <v>40</v>
      </c>
      <c r="G231" s="66"/>
      <c r="H231" s="70"/>
      <c r="I231" s="71"/>
      <c r="J231" s="71"/>
      <c r="K231" s="35" t="s">
        <v>66</v>
      </c>
      <c r="L231" s="79">
        <v>231</v>
      </c>
      <c r="M231" s="79"/>
      <c r="N231" s="73"/>
      <c r="O231" s="81" t="s">
        <v>564</v>
      </c>
      <c r="P231" s="81" t="s">
        <v>566</v>
      </c>
      <c r="Q231" s="84" t="s">
        <v>792</v>
      </c>
      <c r="R231" s="81" t="s">
        <v>369</v>
      </c>
      <c r="S231" s="81" t="s">
        <v>882</v>
      </c>
      <c r="T231" s="86" t="str">
        <f>HYPERLINK("http://www.youtube.com/channel/UCerAw4EfTOnYYxLLPZAzMxQ")</f>
        <v>http://www.youtube.com/channel/UCerAw4EfTOnYYxLLPZAzMxQ</v>
      </c>
      <c r="U231" s="81" t="s">
        <v>1083</v>
      </c>
      <c r="V231" s="81" t="s">
        <v>1128</v>
      </c>
      <c r="W231" s="86" t="str">
        <f>HYPERLINK("https://www.youtube.com/watch?v=PC-PgkhpsNc")</f>
        <v>https://www.youtube.com/watch?v=PC-PgkhpsNc</v>
      </c>
      <c r="X231" s="81" t="s">
        <v>1183</v>
      </c>
      <c r="Y231" s="81">
        <v>0</v>
      </c>
      <c r="Z231" s="88">
        <v>42657.05478009259</v>
      </c>
      <c r="AA231" s="88">
        <v>42657.05478009259</v>
      </c>
      <c r="AB231" s="81"/>
      <c r="AC231" s="81"/>
      <c r="AD231" s="84" t="s">
        <v>1239</v>
      </c>
      <c r="AE231" s="82">
        <v>1</v>
      </c>
      <c r="AF231" s="83" t="str">
        <f>REPLACE(INDEX(GroupVertices[Group],MATCH(Edges[[#This Row],[Vertex 1]],GroupVertices[Vertex],0)),1,1,"")</f>
        <v>1</v>
      </c>
      <c r="AG231" s="83" t="str">
        <f>REPLACE(INDEX(GroupVertices[Group],MATCH(Edges[[#This Row],[Vertex 2]],GroupVertices[Vertex],0)),1,1,"")</f>
        <v>1</v>
      </c>
      <c r="AH231" s="111">
        <v>0</v>
      </c>
      <c r="AI231" s="112">
        <v>0</v>
      </c>
      <c r="AJ231" s="111">
        <v>3</v>
      </c>
      <c r="AK231" s="112">
        <v>3.409090909090909</v>
      </c>
      <c r="AL231" s="111">
        <v>0</v>
      </c>
      <c r="AM231" s="112">
        <v>0</v>
      </c>
      <c r="AN231" s="111">
        <v>85</v>
      </c>
      <c r="AO231" s="112">
        <v>96.5909090909091</v>
      </c>
      <c r="AP231" s="111">
        <v>88</v>
      </c>
    </row>
    <row r="232" spans="1:42" ht="15">
      <c r="A232" s="65" t="s">
        <v>495</v>
      </c>
      <c r="B232" s="65" t="s">
        <v>495</v>
      </c>
      <c r="C232" s="66" t="s">
        <v>2942</v>
      </c>
      <c r="D232" s="67">
        <v>3</v>
      </c>
      <c r="E232" s="68"/>
      <c r="F232" s="69">
        <v>40</v>
      </c>
      <c r="G232" s="66"/>
      <c r="H232" s="70"/>
      <c r="I232" s="71"/>
      <c r="J232" s="71"/>
      <c r="K232" s="35" t="s">
        <v>65</v>
      </c>
      <c r="L232" s="79">
        <v>232</v>
      </c>
      <c r="M232" s="79"/>
      <c r="N232" s="73"/>
      <c r="O232" s="81" t="s">
        <v>564</v>
      </c>
      <c r="P232" s="81" t="s">
        <v>566</v>
      </c>
      <c r="Q232" s="84" t="s">
        <v>793</v>
      </c>
      <c r="R232" s="81" t="s">
        <v>495</v>
      </c>
      <c r="S232" s="81" t="s">
        <v>1008</v>
      </c>
      <c r="T232" s="86" t="str">
        <f>HYPERLINK("http://www.youtube.com/channel/UC85OOjTRUfgLKNWTMIvPp-Q")</f>
        <v>http://www.youtube.com/channel/UC85OOjTRUfgLKNWTMIvPp-Q</v>
      </c>
      <c r="U232" s="81" t="s">
        <v>1083</v>
      </c>
      <c r="V232" s="81" t="s">
        <v>1128</v>
      </c>
      <c r="W232" s="86" t="str">
        <f>HYPERLINK("https://www.youtube.com/watch?v=PC-PgkhpsNc")</f>
        <v>https://www.youtube.com/watch?v=PC-PgkhpsNc</v>
      </c>
      <c r="X232" s="81" t="s">
        <v>1183</v>
      </c>
      <c r="Y232" s="81">
        <v>0</v>
      </c>
      <c r="Z232" s="88">
        <v>42657.070335648146</v>
      </c>
      <c r="AA232" s="88">
        <v>42657.070335648146</v>
      </c>
      <c r="AB232" s="81"/>
      <c r="AC232" s="81"/>
      <c r="AD232" s="84" t="s">
        <v>1239</v>
      </c>
      <c r="AE232" s="82">
        <v>1</v>
      </c>
      <c r="AF232" s="83" t="str">
        <f>REPLACE(INDEX(GroupVertices[Group],MATCH(Edges[[#This Row],[Vertex 1]],GroupVertices[Vertex],0)),1,1,"")</f>
        <v>1</v>
      </c>
      <c r="AG232" s="83" t="str">
        <f>REPLACE(INDEX(GroupVertices[Group],MATCH(Edges[[#This Row],[Vertex 2]],GroupVertices[Vertex],0)),1,1,"")</f>
        <v>1</v>
      </c>
      <c r="AH232" s="111">
        <v>1</v>
      </c>
      <c r="AI232" s="112">
        <v>20</v>
      </c>
      <c r="AJ232" s="111">
        <v>0</v>
      </c>
      <c r="AK232" s="112">
        <v>0</v>
      </c>
      <c r="AL232" s="111">
        <v>0</v>
      </c>
      <c r="AM232" s="112">
        <v>0</v>
      </c>
      <c r="AN232" s="111">
        <v>4</v>
      </c>
      <c r="AO232" s="112">
        <v>80</v>
      </c>
      <c r="AP232" s="111">
        <v>5</v>
      </c>
    </row>
    <row r="233" spans="1:42" ht="15">
      <c r="A233" s="65" t="s">
        <v>495</v>
      </c>
      <c r="B233" s="65" t="s">
        <v>369</v>
      </c>
      <c r="C233" s="66" t="s">
        <v>2942</v>
      </c>
      <c r="D233" s="67">
        <v>3</v>
      </c>
      <c r="E233" s="68"/>
      <c r="F233" s="69">
        <v>40</v>
      </c>
      <c r="G233" s="66"/>
      <c r="H233" s="70"/>
      <c r="I233" s="71"/>
      <c r="J233" s="71"/>
      <c r="K233" s="35" t="s">
        <v>66</v>
      </c>
      <c r="L233" s="79">
        <v>233</v>
      </c>
      <c r="M233" s="79"/>
      <c r="N233" s="73"/>
      <c r="O233" s="81" t="s">
        <v>563</v>
      </c>
      <c r="P233" s="81" t="s">
        <v>325</v>
      </c>
      <c r="Q233" s="84" t="s">
        <v>794</v>
      </c>
      <c r="R233" s="81" t="s">
        <v>495</v>
      </c>
      <c r="S233" s="81" t="s">
        <v>1008</v>
      </c>
      <c r="T233" s="86" t="str">
        <f>HYPERLINK("http://www.youtube.com/channel/UC85OOjTRUfgLKNWTMIvPp-Q")</f>
        <v>http://www.youtube.com/channel/UC85OOjTRUfgLKNWTMIvPp-Q</v>
      </c>
      <c r="U233" s="81"/>
      <c r="V233" s="81" t="s">
        <v>1128</v>
      </c>
      <c r="W233" s="86" t="str">
        <f>HYPERLINK("https://www.youtube.com/watch?v=PC-PgkhpsNc")</f>
        <v>https://www.youtube.com/watch?v=PC-PgkhpsNc</v>
      </c>
      <c r="X233" s="81" t="s">
        <v>1183</v>
      </c>
      <c r="Y233" s="81">
        <v>0</v>
      </c>
      <c r="Z233" s="88">
        <v>42656.99667824074</v>
      </c>
      <c r="AA233" s="88">
        <v>42656.99667824074</v>
      </c>
      <c r="AB233" s="81"/>
      <c r="AC233" s="81"/>
      <c r="AD233" s="84" t="s">
        <v>1239</v>
      </c>
      <c r="AE233" s="82">
        <v>1</v>
      </c>
      <c r="AF233" s="83" t="str">
        <f>REPLACE(INDEX(GroupVertices[Group],MATCH(Edges[[#This Row],[Vertex 1]],GroupVertices[Vertex],0)),1,1,"")</f>
        <v>1</v>
      </c>
      <c r="AG233" s="83" t="str">
        <f>REPLACE(INDEX(GroupVertices[Group],MATCH(Edges[[#This Row],[Vertex 2]],GroupVertices[Vertex],0)),1,1,"")</f>
        <v>1</v>
      </c>
      <c r="AH233" s="111">
        <v>0</v>
      </c>
      <c r="AI233" s="112">
        <v>0</v>
      </c>
      <c r="AJ233" s="111">
        <v>1</v>
      </c>
      <c r="AK233" s="112">
        <v>5.555555555555555</v>
      </c>
      <c r="AL233" s="111">
        <v>0</v>
      </c>
      <c r="AM233" s="112">
        <v>0</v>
      </c>
      <c r="AN233" s="111">
        <v>17</v>
      </c>
      <c r="AO233" s="112">
        <v>94.44444444444444</v>
      </c>
      <c r="AP233" s="111">
        <v>18</v>
      </c>
    </row>
    <row r="234" spans="1:42" ht="15">
      <c r="A234" s="65" t="s">
        <v>496</v>
      </c>
      <c r="B234" s="65" t="s">
        <v>369</v>
      </c>
      <c r="C234" s="66" t="s">
        <v>2942</v>
      </c>
      <c r="D234" s="67">
        <v>3</v>
      </c>
      <c r="E234" s="68"/>
      <c r="F234" s="69">
        <v>40</v>
      </c>
      <c r="G234" s="66"/>
      <c r="H234" s="70"/>
      <c r="I234" s="71"/>
      <c r="J234" s="71"/>
      <c r="K234" s="35" t="s">
        <v>65</v>
      </c>
      <c r="L234" s="79">
        <v>234</v>
      </c>
      <c r="M234" s="79"/>
      <c r="N234" s="73"/>
      <c r="O234" s="81" t="s">
        <v>563</v>
      </c>
      <c r="P234" s="81" t="s">
        <v>325</v>
      </c>
      <c r="Q234" s="84" t="s">
        <v>795</v>
      </c>
      <c r="R234" s="81" t="s">
        <v>496</v>
      </c>
      <c r="S234" s="81" t="s">
        <v>1009</v>
      </c>
      <c r="T234" s="86" t="str">
        <f>HYPERLINK("http://www.youtube.com/channel/UC4JxISL4zq6bR8fkL0zzxrA")</f>
        <v>http://www.youtube.com/channel/UC4JxISL4zq6bR8fkL0zzxrA</v>
      </c>
      <c r="U234" s="81"/>
      <c r="V234" s="81" t="s">
        <v>1128</v>
      </c>
      <c r="W234" s="86" t="str">
        <f>HYPERLINK("https://www.youtube.com/watch?v=PC-PgkhpsNc")</f>
        <v>https://www.youtube.com/watch?v=PC-PgkhpsNc</v>
      </c>
      <c r="X234" s="81" t="s">
        <v>1183</v>
      </c>
      <c r="Y234" s="81">
        <v>0</v>
      </c>
      <c r="Z234" s="88">
        <v>42945.88344907408</v>
      </c>
      <c r="AA234" s="88">
        <v>42945.88344907408</v>
      </c>
      <c r="AB234" s="81"/>
      <c r="AC234" s="81"/>
      <c r="AD234" s="84" t="s">
        <v>1239</v>
      </c>
      <c r="AE234" s="82">
        <v>1</v>
      </c>
      <c r="AF234" s="83" t="str">
        <f>REPLACE(INDEX(GroupVertices[Group],MATCH(Edges[[#This Row],[Vertex 1]],GroupVertices[Vertex],0)),1,1,"")</f>
        <v>1</v>
      </c>
      <c r="AG234" s="83" t="str">
        <f>REPLACE(INDEX(GroupVertices[Group],MATCH(Edges[[#This Row],[Vertex 2]],GroupVertices[Vertex],0)),1,1,"")</f>
        <v>1</v>
      </c>
      <c r="AH234" s="111">
        <v>1</v>
      </c>
      <c r="AI234" s="112">
        <v>2.9411764705882355</v>
      </c>
      <c r="AJ234" s="111">
        <v>0</v>
      </c>
      <c r="AK234" s="112">
        <v>0</v>
      </c>
      <c r="AL234" s="111">
        <v>0</v>
      </c>
      <c r="AM234" s="112">
        <v>0</v>
      </c>
      <c r="AN234" s="111">
        <v>33</v>
      </c>
      <c r="AO234" s="112">
        <v>97.05882352941177</v>
      </c>
      <c r="AP234" s="111">
        <v>34</v>
      </c>
    </row>
    <row r="235" spans="1:42" ht="15">
      <c r="A235" s="65" t="s">
        <v>497</v>
      </c>
      <c r="B235" s="65" t="s">
        <v>430</v>
      </c>
      <c r="C235" s="66" t="s">
        <v>2942</v>
      </c>
      <c r="D235" s="67">
        <v>3</v>
      </c>
      <c r="E235" s="68"/>
      <c r="F235" s="69">
        <v>40</v>
      </c>
      <c r="G235" s="66"/>
      <c r="H235" s="70"/>
      <c r="I235" s="71"/>
      <c r="J235" s="71"/>
      <c r="K235" s="35" t="s">
        <v>65</v>
      </c>
      <c r="L235" s="79">
        <v>235</v>
      </c>
      <c r="M235" s="79"/>
      <c r="N235" s="73"/>
      <c r="O235" s="81" t="s">
        <v>563</v>
      </c>
      <c r="P235" s="81" t="s">
        <v>325</v>
      </c>
      <c r="Q235" s="84" t="s">
        <v>796</v>
      </c>
      <c r="R235" s="81" t="s">
        <v>497</v>
      </c>
      <c r="S235" s="81" t="s">
        <v>1010</v>
      </c>
      <c r="T235" s="86" t="str">
        <f>HYPERLINK("http://www.youtube.com/channel/UCuQ_8nkWLkfwU7LROEKCzfg")</f>
        <v>http://www.youtube.com/channel/UCuQ_8nkWLkfwU7LROEKCzfg</v>
      </c>
      <c r="U235" s="81"/>
      <c r="V235" s="81" t="s">
        <v>1112</v>
      </c>
      <c r="W235" s="86" t="str">
        <f>HYPERLINK("https://www.youtube.com/watch?v=yknqOhpUtzQ")</f>
        <v>https://www.youtube.com/watch?v=yknqOhpUtzQ</v>
      </c>
      <c r="X235" s="81" t="s">
        <v>1183</v>
      </c>
      <c r="Y235" s="81">
        <v>0</v>
      </c>
      <c r="Z235" s="88">
        <v>43005.713958333334</v>
      </c>
      <c r="AA235" s="88">
        <v>43005.71438657407</v>
      </c>
      <c r="AB235" s="81"/>
      <c r="AC235" s="81"/>
      <c r="AD235" s="84" t="s">
        <v>1239</v>
      </c>
      <c r="AE235" s="82">
        <v>1</v>
      </c>
      <c r="AF235" s="83" t="str">
        <f>REPLACE(INDEX(GroupVertices[Group],MATCH(Edges[[#This Row],[Vertex 1]],GroupVertices[Vertex],0)),1,1,"")</f>
        <v>7</v>
      </c>
      <c r="AG235" s="83" t="str">
        <f>REPLACE(INDEX(GroupVertices[Group],MATCH(Edges[[#This Row],[Vertex 2]],GroupVertices[Vertex],0)),1,1,"")</f>
        <v>7</v>
      </c>
      <c r="AH235" s="111">
        <v>7</v>
      </c>
      <c r="AI235" s="112">
        <v>5.6</v>
      </c>
      <c r="AJ235" s="111">
        <v>3</v>
      </c>
      <c r="AK235" s="112">
        <v>2.4</v>
      </c>
      <c r="AL235" s="111">
        <v>0</v>
      </c>
      <c r="AM235" s="112">
        <v>0</v>
      </c>
      <c r="AN235" s="111">
        <v>115</v>
      </c>
      <c r="AO235" s="112">
        <v>92</v>
      </c>
      <c r="AP235" s="111">
        <v>125</v>
      </c>
    </row>
    <row r="236" spans="1:42" ht="15">
      <c r="A236" s="65" t="s">
        <v>497</v>
      </c>
      <c r="B236" s="65" t="s">
        <v>369</v>
      </c>
      <c r="C236" s="66" t="s">
        <v>2942</v>
      </c>
      <c r="D236" s="67">
        <v>3</v>
      </c>
      <c r="E236" s="68"/>
      <c r="F236" s="69">
        <v>40</v>
      </c>
      <c r="G236" s="66"/>
      <c r="H236" s="70"/>
      <c r="I236" s="71"/>
      <c r="J236" s="71"/>
      <c r="K236" s="35" t="s">
        <v>65</v>
      </c>
      <c r="L236" s="79">
        <v>236</v>
      </c>
      <c r="M236" s="79"/>
      <c r="N236" s="73"/>
      <c r="O236" s="81" t="s">
        <v>563</v>
      </c>
      <c r="P236" s="81" t="s">
        <v>325</v>
      </c>
      <c r="Q236" s="84" t="s">
        <v>797</v>
      </c>
      <c r="R236" s="81" t="s">
        <v>497</v>
      </c>
      <c r="S236" s="81" t="s">
        <v>1010</v>
      </c>
      <c r="T236" s="86" t="str">
        <f>HYPERLINK("http://www.youtube.com/channel/UCuQ_8nkWLkfwU7LROEKCzfg")</f>
        <v>http://www.youtube.com/channel/UCuQ_8nkWLkfwU7LROEKCzfg</v>
      </c>
      <c r="U236" s="81"/>
      <c r="V236" s="81" t="s">
        <v>1128</v>
      </c>
      <c r="W236" s="86" t="str">
        <f>HYPERLINK("https://www.youtube.com/watch?v=PC-PgkhpsNc")</f>
        <v>https://www.youtube.com/watch?v=PC-PgkhpsNc</v>
      </c>
      <c r="X236" s="81" t="s">
        <v>1183</v>
      </c>
      <c r="Y236" s="81">
        <v>0</v>
      </c>
      <c r="Z236" s="88">
        <v>42985.52724537037</v>
      </c>
      <c r="AA236" s="88">
        <v>42985.52724537037</v>
      </c>
      <c r="AB236" s="81"/>
      <c r="AC236" s="81"/>
      <c r="AD236" s="84" t="s">
        <v>1239</v>
      </c>
      <c r="AE236" s="82">
        <v>1</v>
      </c>
      <c r="AF236" s="83" t="str">
        <f>REPLACE(INDEX(GroupVertices[Group],MATCH(Edges[[#This Row],[Vertex 1]],GroupVertices[Vertex],0)),1,1,"")</f>
        <v>7</v>
      </c>
      <c r="AG236" s="83" t="str">
        <f>REPLACE(INDEX(GroupVertices[Group],MATCH(Edges[[#This Row],[Vertex 2]],GroupVertices[Vertex],0)),1,1,"")</f>
        <v>1</v>
      </c>
      <c r="AH236" s="111">
        <v>7</v>
      </c>
      <c r="AI236" s="112">
        <v>2.9166666666666665</v>
      </c>
      <c r="AJ236" s="111">
        <v>3</v>
      </c>
      <c r="AK236" s="112">
        <v>1.25</v>
      </c>
      <c r="AL236" s="111">
        <v>0</v>
      </c>
      <c r="AM236" s="112">
        <v>0</v>
      </c>
      <c r="AN236" s="111">
        <v>230</v>
      </c>
      <c r="AO236" s="112">
        <v>95.83333333333333</v>
      </c>
      <c r="AP236" s="111">
        <v>240</v>
      </c>
    </row>
    <row r="237" spans="1:42" ht="15">
      <c r="A237" s="65" t="s">
        <v>498</v>
      </c>
      <c r="B237" s="65" t="s">
        <v>369</v>
      </c>
      <c r="C237" s="66" t="s">
        <v>2942</v>
      </c>
      <c r="D237" s="67">
        <v>3</v>
      </c>
      <c r="E237" s="68"/>
      <c r="F237" s="69">
        <v>40</v>
      </c>
      <c r="G237" s="66"/>
      <c r="H237" s="70"/>
      <c r="I237" s="71"/>
      <c r="J237" s="71"/>
      <c r="K237" s="35" t="s">
        <v>65</v>
      </c>
      <c r="L237" s="79">
        <v>237</v>
      </c>
      <c r="M237" s="79"/>
      <c r="N237" s="73"/>
      <c r="O237" s="81" t="s">
        <v>563</v>
      </c>
      <c r="P237" s="81" t="s">
        <v>325</v>
      </c>
      <c r="Q237" s="84" t="s">
        <v>798</v>
      </c>
      <c r="R237" s="81" t="s">
        <v>498</v>
      </c>
      <c r="S237" s="81" t="s">
        <v>1011</v>
      </c>
      <c r="T237" s="86" t="str">
        <f>HYPERLINK("http://www.youtube.com/channel/UCxeLD_unYqcF-hMFfpwP8bA")</f>
        <v>http://www.youtube.com/channel/UCxeLD_unYqcF-hMFfpwP8bA</v>
      </c>
      <c r="U237" s="81"/>
      <c r="V237" s="81" t="s">
        <v>1128</v>
      </c>
      <c r="W237" s="86" t="str">
        <f>HYPERLINK("https://www.youtube.com/watch?v=PC-PgkhpsNc")</f>
        <v>https://www.youtube.com/watch?v=PC-PgkhpsNc</v>
      </c>
      <c r="X237" s="81" t="s">
        <v>1183</v>
      </c>
      <c r="Y237" s="81">
        <v>0</v>
      </c>
      <c r="Z237" s="88">
        <v>43070.66877314815</v>
      </c>
      <c r="AA237" s="88">
        <v>43070.66877314815</v>
      </c>
      <c r="AB237" s="81"/>
      <c r="AC237" s="81"/>
      <c r="AD237" s="84" t="s">
        <v>1239</v>
      </c>
      <c r="AE237" s="82">
        <v>1</v>
      </c>
      <c r="AF237" s="83" t="str">
        <f>REPLACE(INDEX(GroupVertices[Group],MATCH(Edges[[#This Row],[Vertex 1]],GroupVertices[Vertex],0)),1,1,"")</f>
        <v>1</v>
      </c>
      <c r="AG237" s="83" t="str">
        <f>REPLACE(INDEX(GroupVertices[Group],MATCH(Edges[[#This Row],[Vertex 2]],GroupVertices[Vertex],0)),1,1,"")</f>
        <v>1</v>
      </c>
      <c r="AH237" s="111">
        <v>4</v>
      </c>
      <c r="AI237" s="112">
        <v>4.395604395604396</v>
      </c>
      <c r="AJ237" s="111">
        <v>0</v>
      </c>
      <c r="AK237" s="112">
        <v>0</v>
      </c>
      <c r="AL237" s="111">
        <v>0</v>
      </c>
      <c r="AM237" s="112">
        <v>0</v>
      </c>
      <c r="AN237" s="111">
        <v>87</v>
      </c>
      <c r="AO237" s="112">
        <v>95.6043956043956</v>
      </c>
      <c r="AP237" s="111">
        <v>91</v>
      </c>
    </row>
    <row r="238" spans="1:42" ht="15">
      <c r="A238" s="65" t="s">
        <v>492</v>
      </c>
      <c r="B238" s="65" t="s">
        <v>369</v>
      </c>
      <c r="C238" s="66" t="s">
        <v>2942</v>
      </c>
      <c r="D238" s="67">
        <v>3</v>
      </c>
      <c r="E238" s="68"/>
      <c r="F238" s="69">
        <v>40</v>
      </c>
      <c r="G238" s="66"/>
      <c r="H238" s="70"/>
      <c r="I238" s="71"/>
      <c r="J238" s="71"/>
      <c r="K238" s="35" t="s">
        <v>65</v>
      </c>
      <c r="L238" s="79">
        <v>238</v>
      </c>
      <c r="M238" s="79"/>
      <c r="N238" s="73"/>
      <c r="O238" s="81" t="s">
        <v>563</v>
      </c>
      <c r="P238" s="81" t="s">
        <v>325</v>
      </c>
      <c r="Q238" s="84" t="s">
        <v>799</v>
      </c>
      <c r="R238" s="81" t="s">
        <v>492</v>
      </c>
      <c r="S238" s="81" t="s">
        <v>1005</v>
      </c>
      <c r="T238" s="86" t="str">
        <f>HYPERLINK("http://www.youtube.com/channel/UCgeaB9V_kFKh-hU_yGjNvjw")</f>
        <v>http://www.youtube.com/channel/UCgeaB9V_kFKh-hU_yGjNvjw</v>
      </c>
      <c r="U238" s="81"/>
      <c r="V238" s="81" t="s">
        <v>1128</v>
      </c>
      <c r="W238" s="86" t="str">
        <f>HYPERLINK("https://www.youtube.com/watch?v=PC-PgkhpsNc")</f>
        <v>https://www.youtube.com/watch?v=PC-PgkhpsNc</v>
      </c>
      <c r="X238" s="81" t="s">
        <v>1183</v>
      </c>
      <c r="Y238" s="81">
        <v>0</v>
      </c>
      <c r="Z238" s="88">
        <v>43272.65005787037</v>
      </c>
      <c r="AA238" s="88">
        <v>43272.65005787037</v>
      </c>
      <c r="AB238" s="81"/>
      <c r="AC238" s="81"/>
      <c r="AD238" s="84" t="s">
        <v>1239</v>
      </c>
      <c r="AE238" s="82">
        <v>1</v>
      </c>
      <c r="AF238" s="83" t="str">
        <f>REPLACE(INDEX(GroupVertices[Group],MATCH(Edges[[#This Row],[Vertex 1]],GroupVertices[Vertex],0)),1,1,"")</f>
        <v>1</v>
      </c>
      <c r="AG238" s="83" t="str">
        <f>REPLACE(INDEX(GroupVertices[Group],MATCH(Edges[[#This Row],[Vertex 2]],GroupVertices[Vertex],0)),1,1,"")</f>
        <v>1</v>
      </c>
      <c r="AH238" s="111">
        <v>5</v>
      </c>
      <c r="AI238" s="112">
        <v>6.944444444444445</v>
      </c>
      <c r="AJ238" s="111">
        <v>0</v>
      </c>
      <c r="AK238" s="112">
        <v>0</v>
      </c>
      <c r="AL238" s="111">
        <v>0</v>
      </c>
      <c r="AM238" s="112">
        <v>0</v>
      </c>
      <c r="AN238" s="111">
        <v>67</v>
      </c>
      <c r="AO238" s="112">
        <v>93.05555555555556</v>
      </c>
      <c r="AP238" s="111">
        <v>72</v>
      </c>
    </row>
    <row r="239" spans="1:42" ht="15">
      <c r="A239" s="65" t="s">
        <v>499</v>
      </c>
      <c r="B239" s="65" t="s">
        <v>369</v>
      </c>
      <c r="C239" s="66" t="s">
        <v>2942</v>
      </c>
      <c r="D239" s="67">
        <v>3</v>
      </c>
      <c r="E239" s="68"/>
      <c r="F239" s="69">
        <v>40</v>
      </c>
      <c r="G239" s="66"/>
      <c r="H239" s="70"/>
      <c r="I239" s="71"/>
      <c r="J239" s="71"/>
      <c r="K239" s="35" t="s">
        <v>65</v>
      </c>
      <c r="L239" s="79">
        <v>239</v>
      </c>
      <c r="M239" s="79"/>
      <c r="N239" s="73"/>
      <c r="O239" s="81" t="s">
        <v>563</v>
      </c>
      <c r="P239" s="81" t="s">
        <v>325</v>
      </c>
      <c r="Q239" s="84" t="s">
        <v>800</v>
      </c>
      <c r="R239" s="81" t="s">
        <v>499</v>
      </c>
      <c r="S239" s="81" t="s">
        <v>1012</v>
      </c>
      <c r="T239" s="86" t="str">
        <f>HYPERLINK("http://www.youtube.com/channel/UC0-d0qMhGZQ1ZpuIZvQGPzA")</f>
        <v>http://www.youtube.com/channel/UC0-d0qMhGZQ1ZpuIZvQGPzA</v>
      </c>
      <c r="U239" s="81"/>
      <c r="V239" s="81" t="s">
        <v>1128</v>
      </c>
      <c r="W239" s="86" t="str">
        <f>HYPERLINK("https://www.youtube.com/watch?v=PC-PgkhpsNc")</f>
        <v>https://www.youtube.com/watch?v=PC-PgkhpsNc</v>
      </c>
      <c r="X239" s="81" t="s">
        <v>1183</v>
      </c>
      <c r="Y239" s="81">
        <v>4</v>
      </c>
      <c r="Z239" s="88">
        <v>43389.28125</v>
      </c>
      <c r="AA239" s="88">
        <v>43389.28141203704</v>
      </c>
      <c r="AB239" s="81" t="s">
        <v>1207</v>
      </c>
      <c r="AC239" s="81" t="s">
        <v>1221</v>
      </c>
      <c r="AD239" s="84" t="s">
        <v>1239</v>
      </c>
      <c r="AE239" s="82">
        <v>1</v>
      </c>
      <c r="AF239" s="83" t="str">
        <f>REPLACE(INDEX(GroupVertices[Group],MATCH(Edges[[#This Row],[Vertex 1]],GroupVertices[Vertex],0)),1,1,"")</f>
        <v>1</v>
      </c>
      <c r="AG239" s="83" t="str">
        <f>REPLACE(INDEX(GroupVertices[Group],MATCH(Edges[[#This Row],[Vertex 2]],GroupVertices[Vertex],0)),1,1,"")</f>
        <v>1</v>
      </c>
      <c r="AH239" s="111">
        <v>1</v>
      </c>
      <c r="AI239" s="112">
        <v>5</v>
      </c>
      <c r="AJ239" s="111">
        <v>0</v>
      </c>
      <c r="AK239" s="112">
        <v>0</v>
      </c>
      <c r="AL239" s="111">
        <v>0</v>
      </c>
      <c r="AM239" s="112">
        <v>0</v>
      </c>
      <c r="AN239" s="111">
        <v>19</v>
      </c>
      <c r="AO239" s="112">
        <v>95</v>
      </c>
      <c r="AP239" s="111">
        <v>20</v>
      </c>
    </row>
    <row r="240" spans="1:42" ht="15">
      <c r="A240" s="65" t="s">
        <v>500</v>
      </c>
      <c r="B240" s="65" t="s">
        <v>369</v>
      </c>
      <c r="C240" s="66" t="s">
        <v>2942</v>
      </c>
      <c r="D240" s="67">
        <v>3</v>
      </c>
      <c r="E240" s="68"/>
      <c r="F240" s="69">
        <v>40</v>
      </c>
      <c r="G240" s="66"/>
      <c r="H240" s="70"/>
      <c r="I240" s="71"/>
      <c r="J240" s="71"/>
      <c r="K240" s="35" t="s">
        <v>65</v>
      </c>
      <c r="L240" s="79">
        <v>240</v>
      </c>
      <c r="M240" s="79"/>
      <c r="N240" s="73"/>
      <c r="O240" s="81" t="s">
        <v>563</v>
      </c>
      <c r="P240" s="81" t="s">
        <v>325</v>
      </c>
      <c r="Q240" s="84" t="s">
        <v>801</v>
      </c>
      <c r="R240" s="81" t="s">
        <v>500</v>
      </c>
      <c r="S240" s="81" t="s">
        <v>1013</v>
      </c>
      <c r="T240" s="86" t="str">
        <f>HYPERLINK("http://www.youtube.com/channel/UCQhhxor95wtiDxuQdQrljCA")</f>
        <v>http://www.youtube.com/channel/UCQhhxor95wtiDxuQdQrljCA</v>
      </c>
      <c r="U240" s="81"/>
      <c r="V240" s="81" t="s">
        <v>1128</v>
      </c>
      <c r="W240" s="86" t="str">
        <f>HYPERLINK("https://www.youtube.com/watch?v=PC-PgkhpsNc")</f>
        <v>https://www.youtube.com/watch?v=PC-PgkhpsNc</v>
      </c>
      <c r="X240" s="81" t="s">
        <v>1183</v>
      </c>
      <c r="Y240" s="81">
        <v>0</v>
      </c>
      <c r="Z240" s="88">
        <v>43750.229155092595</v>
      </c>
      <c r="AA240" s="88">
        <v>43750.229155092595</v>
      </c>
      <c r="AB240" s="81"/>
      <c r="AC240" s="81"/>
      <c r="AD240" s="84" t="s">
        <v>1239</v>
      </c>
      <c r="AE240" s="82">
        <v>1</v>
      </c>
      <c r="AF240" s="83" t="str">
        <f>REPLACE(INDEX(GroupVertices[Group],MATCH(Edges[[#This Row],[Vertex 1]],GroupVertices[Vertex],0)),1,1,"")</f>
        <v>1</v>
      </c>
      <c r="AG240" s="83" t="str">
        <f>REPLACE(INDEX(GroupVertices[Group],MATCH(Edges[[#This Row],[Vertex 2]],GroupVertices[Vertex],0)),1,1,"")</f>
        <v>1</v>
      </c>
      <c r="AH240" s="111">
        <v>2</v>
      </c>
      <c r="AI240" s="112">
        <v>33.333333333333336</v>
      </c>
      <c r="AJ240" s="111">
        <v>0</v>
      </c>
      <c r="AK240" s="112">
        <v>0</v>
      </c>
      <c r="AL240" s="111">
        <v>0</v>
      </c>
      <c r="AM240" s="112">
        <v>0</v>
      </c>
      <c r="AN240" s="111">
        <v>4</v>
      </c>
      <c r="AO240" s="112">
        <v>66.66666666666667</v>
      </c>
      <c r="AP240" s="111">
        <v>6</v>
      </c>
    </row>
    <row r="241" spans="1:42" ht="15">
      <c r="A241" s="65" t="s">
        <v>501</v>
      </c>
      <c r="B241" s="65" t="s">
        <v>369</v>
      </c>
      <c r="C241" s="66" t="s">
        <v>2942</v>
      </c>
      <c r="D241" s="67">
        <v>3</v>
      </c>
      <c r="E241" s="68"/>
      <c r="F241" s="69">
        <v>40</v>
      </c>
      <c r="G241" s="66"/>
      <c r="H241" s="70"/>
      <c r="I241" s="71"/>
      <c r="J241" s="71"/>
      <c r="K241" s="35" t="s">
        <v>65</v>
      </c>
      <c r="L241" s="79">
        <v>241</v>
      </c>
      <c r="M241" s="79"/>
      <c r="N241" s="73"/>
      <c r="O241" s="81" t="s">
        <v>563</v>
      </c>
      <c r="P241" s="81" t="s">
        <v>325</v>
      </c>
      <c r="Q241" s="84" t="s">
        <v>802</v>
      </c>
      <c r="R241" s="81" t="s">
        <v>501</v>
      </c>
      <c r="S241" s="81" t="s">
        <v>1014</v>
      </c>
      <c r="T241" s="86" t="str">
        <f>HYPERLINK("http://www.youtube.com/channel/UCP6YGSaCdnBaF7dShuCR0aA")</f>
        <v>http://www.youtube.com/channel/UCP6YGSaCdnBaF7dShuCR0aA</v>
      </c>
      <c r="U241" s="81"/>
      <c r="V241" s="81" t="s">
        <v>1128</v>
      </c>
      <c r="W241" s="86" t="str">
        <f>HYPERLINK("https://www.youtube.com/watch?v=PC-PgkhpsNc")</f>
        <v>https://www.youtube.com/watch?v=PC-PgkhpsNc</v>
      </c>
      <c r="X241" s="81" t="s">
        <v>1183</v>
      </c>
      <c r="Y241" s="81">
        <v>0</v>
      </c>
      <c r="Z241" s="88">
        <v>43902.296956018516</v>
      </c>
      <c r="AA241" s="88">
        <v>43902.296956018516</v>
      </c>
      <c r="AB241" s="81"/>
      <c r="AC241" s="81"/>
      <c r="AD241" s="84" t="s">
        <v>1239</v>
      </c>
      <c r="AE241" s="82">
        <v>1</v>
      </c>
      <c r="AF241" s="83" t="str">
        <f>REPLACE(INDEX(GroupVertices[Group],MATCH(Edges[[#This Row],[Vertex 1]],GroupVertices[Vertex],0)),1,1,"")</f>
        <v>1</v>
      </c>
      <c r="AG241" s="83" t="str">
        <f>REPLACE(INDEX(GroupVertices[Group],MATCH(Edges[[#This Row],[Vertex 2]],GroupVertices[Vertex],0)),1,1,"")</f>
        <v>1</v>
      </c>
      <c r="AH241" s="111">
        <v>0</v>
      </c>
      <c r="AI241" s="112">
        <v>0</v>
      </c>
      <c r="AJ241" s="111">
        <v>0</v>
      </c>
      <c r="AK241" s="112">
        <v>0</v>
      </c>
      <c r="AL241" s="111">
        <v>0</v>
      </c>
      <c r="AM241" s="112">
        <v>0</v>
      </c>
      <c r="AN241" s="111">
        <v>6</v>
      </c>
      <c r="AO241" s="112">
        <v>100</v>
      </c>
      <c r="AP241" s="111">
        <v>6</v>
      </c>
    </row>
    <row r="242" spans="1:42" ht="15">
      <c r="A242" s="65" t="s">
        <v>502</v>
      </c>
      <c r="B242" s="65" t="s">
        <v>369</v>
      </c>
      <c r="C242" s="66" t="s">
        <v>2942</v>
      </c>
      <c r="D242" s="67">
        <v>3</v>
      </c>
      <c r="E242" s="68"/>
      <c r="F242" s="69">
        <v>40</v>
      </c>
      <c r="G242" s="66"/>
      <c r="H242" s="70"/>
      <c r="I242" s="71"/>
      <c r="J242" s="71"/>
      <c r="K242" s="35" t="s">
        <v>65</v>
      </c>
      <c r="L242" s="79">
        <v>242</v>
      </c>
      <c r="M242" s="79"/>
      <c r="N242" s="73"/>
      <c r="O242" s="81" t="s">
        <v>563</v>
      </c>
      <c r="P242" s="81" t="s">
        <v>325</v>
      </c>
      <c r="Q242" s="84" t="s">
        <v>803</v>
      </c>
      <c r="R242" s="81" t="s">
        <v>502</v>
      </c>
      <c r="S242" s="81" t="s">
        <v>1015</v>
      </c>
      <c r="T242" s="86" t="str">
        <f>HYPERLINK("http://www.youtube.com/channel/UCTESLPLt2_wAX3ltGs3w09w")</f>
        <v>http://www.youtube.com/channel/UCTESLPLt2_wAX3ltGs3w09w</v>
      </c>
      <c r="U242" s="81"/>
      <c r="V242" s="81" t="s">
        <v>1128</v>
      </c>
      <c r="W242" s="86" t="str">
        <f>HYPERLINK("https://www.youtube.com/watch?v=PC-PgkhpsNc")</f>
        <v>https://www.youtube.com/watch?v=PC-PgkhpsNc</v>
      </c>
      <c r="X242" s="81" t="s">
        <v>1183</v>
      </c>
      <c r="Y242" s="81">
        <v>0</v>
      </c>
      <c r="Z242" s="88">
        <v>43981.79383101852</v>
      </c>
      <c r="AA242" s="88">
        <v>43981.79383101852</v>
      </c>
      <c r="AB242" s="81"/>
      <c r="AC242" s="81"/>
      <c r="AD242" s="84" t="s">
        <v>1239</v>
      </c>
      <c r="AE242" s="82">
        <v>1</v>
      </c>
      <c r="AF242" s="83" t="str">
        <f>REPLACE(INDEX(GroupVertices[Group],MATCH(Edges[[#This Row],[Vertex 1]],GroupVertices[Vertex],0)),1,1,"")</f>
        <v>1</v>
      </c>
      <c r="AG242" s="83" t="str">
        <f>REPLACE(INDEX(GroupVertices[Group],MATCH(Edges[[#This Row],[Vertex 2]],GroupVertices[Vertex],0)),1,1,"")</f>
        <v>1</v>
      </c>
      <c r="AH242" s="111">
        <v>1</v>
      </c>
      <c r="AI242" s="112">
        <v>20</v>
      </c>
      <c r="AJ242" s="111">
        <v>0</v>
      </c>
      <c r="AK242" s="112">
        <v>0</v>
      </c>
      <c r="AL242" s="111">
        <v>0</v>
      </c>
      <c r="AM242" s="112">
        <v>0</v>
      </c>
      <c r="AN242" s="111">
        <v>4</v>
      </c>
      <c r="AO242" s="112">
        <v>80</v>
      </c>
      <c r="AP242" s="111">
        <v>5</v>
      </c>
    </row>
    <row r="243" spans="1:42" ht="15">
      <c r="A243" s="65" t="s">
        <v>369</v>
      </c>
      <c r="B243" s="65" t="s">
        <v>503</v>
      </c>
      <c r="C243" s="66" t="s">
        <v>2942</v>
      </c>
      <c r="D243" s="67">
        <v>3</v>
      </c>
      <c r="E243" s="68"/>
      <c r="F243" s="69">
        <v>40</v>
      </c>
      <c r="G243" s="66"/>
      <c r="H243" s="70"/>
      <c r="I243" s="71"/>
      <c r="J243" s="71"/>
      <c r="K243" s="35" t="s">
        <v>66</v>
      </c>
      <c r="L243" s="79">
        <v>243</v>
      </c>
      <c r="M243" s="79"/>
      <c r="N243" s="73"/>
      <c r="O243" s="81" t="s">
        <v>564</v>
      </c>
      <c r="P243" s="81" t="s">
        <v>566</v>
      </c>
      <c r="Q243" s="84" t="s">
        <v>804</v>
      </c>
      <c r="R243" s="81" t="s">
        <v>369</v>
      </c>
      <c r="S243" s="81" t="s">
        <v>882</v>
      </c>
      <c r="T243" s="86" t="str">
        <f>HYPERLINK("http://www.youtube.com/channel/UCerAw4EfTOnYYxLLPZAzMxQ")</f>
        <v>http://www.youtube.com/channel/UCerAw4EfTOnYYxLLPZAzMxQ</v>
      </c>
      <c r="U243" s="81" t="s">
        <v>1084</v>
      </c>
      <c r="V243" s="81" t="s">
        <v>1128</v>
      </c>
      <c r="W243" s="86" t="str">
        <f>HYPERLINK("https://www.youtube.com/watch?v=PC-PgkhpsNc")</f>
        <v>https://www.youtube.com/watch?v=PC-PgkhpsNc</v>
      </c>
      <c r="X243" s="81" t="s">
        <v>1183</v>
      </c>
      <c r="Y243" s="81">
        <v>1</v>
      </c>
      <c r="Z243" s="88">
        <v>44155.008726851855</v>
      </c>
      <c r="AA243" s="88">
        <v>44155.008726851855</v>
      </c>
      <c r="AB243" s="81"/>
      <c r="AC243" s="81"/>
      <c r="AD243" s="84" t="s">
        <v>1239</v>
      </c>
      <c r="AE243" s="82">
        <v>1</v>
      </c>
      <c r="AF243" s="83" t="str">
        <f>REPLACE(INDEX(GroupVertices[Group],MATCH(Edges[[#This Row],[Vertex 1]],GroupVertices[Vertex],0)),1,1,"")</f>
        <v>1</v>
      </c>
      <c r="AG243" s="83" t="str">
        <f>REPLACE(INDEX(GroupVertices[Group],MATCH(Edges[[#This Row],[Vertex 2]],GroupVertices[Vertex],0)),1,1,"")</f>
        <v>1</v>
      </c>
      <c r="AH243" s="111">
        <v>0</v>
      </c>
      <c r="AI243" s="112">
        <v>0</v>
      </c>
      <c r="AJ243" s="111">
        <v>0</v>
      </c>
      <c r="AK243" s="112">
        <v>0</v>
      </c>
      <c r="AL243" s="111">
        <v>0</v>
      </c>
      <c r="AM243" s="112">
        <v>0</v>
      </c>
      <c r="AN243" s="111">
        <v>9</v>
      </c>
      <c r="AO243" s="112">
        <v>100</v>
      </c>
      <c r="AP243" s="111">
        <v>9</v>
      </c>
    </row>
    <row r="244" spans="1:42" ht="15">
      <c r="A244" s="65" t="s">
        <v>503</v>
      </c>
      <c r="B244" s="65" t="s">
        <v>503</v>
      </c>
      <c r="C244" s="66" t="s">
        <v>2942</v>
      </c>
      <c r="D244" s="67">
        <v>3</v>
      </c>
      <c r="E244" s="68"/>
      <c r="F244" s="69">
        <v>40</v>
      </c>
      <c r="G244" s="66"/>
      <c r="H244" s="70"/>
      <c r="I244" s="71"/>
      <c r="J244" s="71"/>
      <c r="K244" s="35" t="s">
        <v>65</v>
      </c>
      <c r="L244" s="79">
        <v>244</v>
      </c>
      <c r="M244" s="79"/>
      <c r="N244" s="73"/>
      <c r="O244" s="81" t="s">
        <v>564</v>
      </c>
      <c r="P244" s="81" t="s">
        <v>566</v>
      </c>
      <c r="Q244" s="84" t="s">
        <v>805</v>
      </c>
      <c r="R244" s="81" t="s">
        <v>503</v>
      </c>
      <c r="S244" s="81" t="s">
        <v>1016</v>
      </c>
      <c r="T244" s="86" t="str">
        <f>HYPERLINK("http://www.youtube.com/channel/UCshNH5WXvJ70zeeJkMv6jbQ")</f>
        <v>http://www.youtube.com/channel/UCshNH5WXvJ70zeeJkMv6jbQ</v>
      </c>
      <c r="U244" s="81" t="s">
        <v>1084</v>
      </c>
      <c r="V244" s="81" t="s">
        <v>1128</v>
      </c>
      <c r="W244" s="86" t="str">
        <f>HYPERLINK("https://www.youtube.com/watch?v=PC-PgkhpsNc")</f>
        <v>https://www.youtube.com/watch?v=PC-PgkhpsNc</v>
      </c>
      <c r="X244" s="81" t="s">
        <v>1183</v>
      </c>
      <c r="Y244" s="81">
        <v>0</v>
      </c>
      <c r="Z244" s="88">
        <v>44155.05331018518</v>
      </c>
      <c r="AA244" s="88">
        <v>44155.05331018518</v>
      </c>
      <c r="AB244" s="81"/>
      <c r="AC244" s="81"/>
      <c r="AD244" s="84" t="s">
        <v>1239</v>
      </c>
      <c r="AE244" s="82">
        <v>1</v>
      </c>
      <c r="AF244" s="83" t="str">
        <f>REPLACE(INDEX(GroupVertices[Group],MATCH(Edges[[#This Row],[Vertex 1]],GroupVertices[Vertex],0)),1,1,"")</f>
        <v>1</v>
      </c>
      <c r="AG244" s="83" t="str">
        <f>REPLACE(INDEX(GroupVertices[Group],MATCH(Edges[[#This Row],[Vertex 2]],GroupVertices[Vertex],0)),1,1,"")</f>
        <v>1</v>
      </c>
      <c r="AH244" s="111">
        <v>2</v>
      </c>
      <c r="AI244" s="112">
        <v>5.555555555555555</v>
      </c>
      <c r="AJ244" s="111">
        <v>0</v>
      </c>
      <c r="AK244" s="112">
        <v>0</v>
      </c>
      <c r="AL244" s="111">
        <v>0</v>
      </c>
      <c r="AM244" s="112">
        <v>0</v>
      </c>
      <c r="AN244" s="111">
        <v>34</v>
      </c>
      <c r="AO244" s="112">
        <v>94.44444444444444</v>
      </c>
      <c r="AP244" s="111">
        <v>36</v>
      </c>
    </row>
    <row r="245" spans="1:42" ht="15">
      <c r="A245" s="65" t="s">
        <v>503</v>
      </c>
      <c r="B245" s="65" t="s">
        <v>369</v>
      </c>
      <c r="C245" s="66" t="s">
        <v>2942</v>
      </c>
      <c r="D245" s="67">
        <v>3</v>
      </c>
      <c r="E245" s="68"/>
      <c r="F245" s="69">
        <v>40</v>
      </c>
      <c r="G245" s="66"/>
      <c r="H245" s="70"/>
      <c r="I245" s="71"/>
      <c r="J245" s="71"/>
      <c r="K245" s="35" t="s">
        <v>66</v>
      </c>
      <c r="L245" s="79">
        <v>245</v>
      </c>
      <c r="M245" s="79"/>
      <c r="N245" s="73"/>
      <c r="O245" s="81" t="s">
        <v>563</v>
      </c>
      <c r="P245" s="81" t="s">
        <v>325</v>
      </c>
      <c r="Q245" s="84" t="s">
        <v>806</v>
      </c>
      <c r="R245" s="81" t="s">
        <v>503</v>
      </c>
      <c r="S245" s="81" t="s">
        <v>1016</v>
      </c>
      <c r="T245" s="86" t="str">
        <f>HYPERLINK("http://www.youtube.com/channel/UCshNH5WXvJ70zeeJkMv6jbQ")</f>
        <v>http://www.youtube.com/channel/UCshNH5WXvJ70zeeJkMv6jbQ</v>
      </c>
      <c r="U245" s="81"/>
      <c r="V245" s="81" t="s">
        <v>1128</v>
      </c>
      <c r="W245" s="86" t="str">
        <f>HYPERLINK("https://www.youtube.com/watch?v=PC-PgkhpsNc")</f>
        <v>https://www.youtube.com/watch?v=PC-PgkhpsNc</v>
      </c>
      <c r="X245" s="81" t="s">
        <v>1183</v>
      </c>
      <c r="Y245" s="81">
        <v>0</v>
      </c>
      <c r="Z245" s="88">
        <v>44155.00377314815</v>
      </c>
      <c r="AA245" s="88">
        <v>44155.00377314815</v>
      </c>
      <c r="AB245" s="81"/>
      <c r="AC245" s="81"/>
      <c r="AD245" s="84" t="s">
        <v>1239</v>
      </c>
      <c r="AE245" s="82">
        <v>1</v>
      </c>
      <c r="AF245" s="83" t="str">
        <f>REPLACE(INDEX(GroupVertices[Group],MATCH(Edges[[#This Row],[Vertex 1]],GroupVertices[Vertex],0)),1,1,"")</f>
        <v>1</v>
      </c>
      <c r="AG245" s="83" t="str">
        <f>REPLACE(INDEX(GroupVertices[Group],MATCH(Edges[[#This Row],[Vertex 2]],GroupVertices[Vertex],0)),1,1,"")</f>
        <v>1</v>
      </c>
      <c r="AH245" s="111">
        <v>0</v>
      </c>
      <c r="AI245" s="112">
        <v>0</v>
      </c>
      <c r="AJ245" s="111">
        <v>0</v>
      </c>
      <c r="AK245" s="112">
        <v>0</v>
      </c>
      <c r="AL245" s="111">
        <v>0</v>
      </c>
      <c r="AM245" s="112">
        <v>0</v>
      </c>
      <c r="AN245" s="111">
        <v>15</v>
      </c>
      <c r="AO245" s="112">
        <v>100</v>
      </c>
      <c r="AP245" s="111">
        <v>15</v>
      </c>
    </row>
    <row r="246" spans="1:42" ht="15">
      <c r="A246" s="65" t="s">
        <v>504</v>
      </c>
      <c r="B246" s="65" t="s">
        <v>369</v>
      </c>
      <c r="C246" s="66" t="s">
        <v>2942</v>
      </c>
      <c r="D246" s="67">
        <v>3</v>
      </c>
      <c r="E246" s="68"/>
      <c r="F246" s="69">
        <v>40</v>
      </c>
      <c r="G246" s="66"/>
      <c r="H246" s="70"/>
      <c r="I246" s="71"/>
      <c r="J246" s="71"/>
      <c r="K246" s="35" t="s">
        <v>65</v>
      </c>
      <c r="L246" s="79">
        <v>246</v>
      </c>
      <c r="M246" s="79"/>
      <c r="N246" s="73"/>
      <c r="O246" s="81" t="s">
        <v>563</v>
      </c>
      <c r="P246" s="81" t="s">
        <v>325</v>
      </c>
      <c r="Q246" s="84" t="s">
        <v>807</v>
      </c>
      <c r="R246" s="81" t="s">
        <v>504</v>
      </c>
      <c r="S246" s="81" t="s">
        <v>1017</v>
      </c>
      <c r="T246" s="86" t="str">
        <f>HYPERLINK("http://www.youtube.com/channel/UCeVaJ_1m9gMXcDFX9d1YtXQ")</f>
        <v>http://www.youtube.com/channel/UCeVaJ_1m9gMXcDFX9d1YtXQ</v>
      </c>
      <c r="U246" s="81"/>
      <c r="V246" s="81" t="s">
        <v>1128</v>
      </c>
      <c r="W246" s="86" t="str">
        <f>HYPERLINK("https://www.youtube.com/watch?v=PC-PgkhpsNc")</f>
        <v>https://www.youtube.com/watch?v=PC-PgkhpsNc</v>
      </c>
      <c r="X246" s="81" t="s">
        <v>1183</v>
      </c>
      <c r="Y246" s="81">
        <v>2</v>
      </c>
      <c r="Z246" s="88">
        <v>44222.65709490741</v>
      </c>
      <c r="AA246" s="88">
        <v>44222.65709490741</v>
      </c>
      <c r="AB246" s="81"/>
      <c r="AC246" s="81"/>
      <c r="AD246" s="84" t="s">
        <v>1239</v>
      </c>
      <c r="AE246" s="82">
        <v>1</v>
      </c>
      <c r="AF246" s="83" t="str">
        <f>REPLACE(INDEX(GroupVertices[Group],MATCH(Edges[[#This Row],[Vertex 1]],GroupVertices[Vertex],0)),1,1,"")</f>
        <v>1</v>
      </c>
      <c r="AG246" s="83" t="str">
        <f>REPLACE(INDEX(GroupVertices[Group],MATCH(Edges[[#This Row],[Vertex 2]],GroupVertices[Vertex],0)),1,1,"")</f>
        <v>1</v>
      </c>
      <c r="AH246" s="111">
        <v>0</v>
      </c>
      <c r="AI246" s="112">
        <v>0</v>
      </c>
      <c r="AJ246" s="111">
        <v>0</v>
      </c>
      <c r="AK246" s="112">
        <v>0</v>
      </c>
      <c r="AL246" s="111">
        <v>0</v>
      </c>
      <c r="AM246" s="112">
        <v>0</v>
      </c>
      <c r="AN246" s="111">
        <v>12</v>
      </c>
      <c r="AO246" s="112">
        <v>100</v>
      </c>
      <c r="AP246" s="111">
        <v>12</v>
      </c>
    </row>
    <row r="247" spans="1:42" ht="15">
      <c r="A247" s="65" t="s">
        <v>369</v>
      </c>
      <c r="B247" s="65" t="s">
        <v>505</v>
      </c>
      <c r="C247" s="66" t="s">
        <v>2942</v>
      </c>
      <c r="D247" s="67">
        <v>3</v>
      </c>
      <c r="E247" s="68"/>
      <c r="F247" s="69">
        <v>40</v>
      </c>
      <c r="G247" s="66"/>
      <c r="H247" s="70"/>
      <c r="I247" s="71"/>
      <c r="J247" s="71"/>
      <c r="K247" s="35" t="s">
        <v>66</v>
      </c>
      <c r="L247" s="79">
        <v>247</v>
      </c>
      <c r="M247" s="79"/>
      <c r="N247" s="73"/>
      <c r="O247" s="81" t="s">
        <v>564</v>
      </c>
      <c r="P247" s="81" t="s">
        <v>566</v>
      </c>
      <c r="Q247" s="84" t="s">
        <v>808</v>
      </c>
      <c r="R247" s="81" t="s">
        <v>369</v>
      </c>
      <c r="S247" s="81" t="s">
        <v>882</v>
      </c>
      <c r="T247" s="86" t="str">
        <f>HYPERLINK("http://www.youtube.com/channel/UCerAw4EfTOnYYxLLPZAzMxQ")</f>
        <v>http://www.youtube.com/channel/UCerAw4EfTOnYYxLLPZAzMxQ</v>
      </c>
      <c r="U247" s="81" t="s">
        <v>1085</v>
      </c>
      <c r="V247" s="81" t="s">
        <v>1128</v>
      </c>
      <c r="W247" s="86" t="str">
        <f>HYPERLINK("https://www.youtube.com/watch?v=PC-PgkhpsNc")</f>
        <v>https://www.youtube.com/watch?v=PC-PgkhpsNc</v>
      </c>
      <c r="X247" s="81" t="s">
        <v>1183</v>
      </c>
      <c r="Y247" s="81">
        <v>0</v>
      </c>
      <c r="Z247" s="88">
        <v>44234.891076388885</v>
      </c>
      <c r="AA247" s="88">
        <v>44234.891076388885</v>
      </c>
      <c r="AB247" s="81" t="s">
        <v>1190</v>
      </c>
      <c r="AC247" s="81" t="s">
        <v>1224</v>
      </c>
      <c r="AD247" s="84" t="s">
        <v>1239</v>
      </c>
      <c r="AE247" s="82">
        <v>1</v>
      </c>
      <c r="AF247" s="83" t="str">
        <f>REPLACE(INDEX(GroupVertices[Group],MATCH(Edges[[#This Row],[Vertex 1]],GroupVertices[Vertex],0)),1,1,"")</f>
        <v>1</v>
      </c>
      <c r="AG247" s="83" t="str">
        <f>REPLACE(INDEX(GroupVertices[Group],MATCH(Edges[[#This Row],[Vertex 2]],GroupVertices[Vertex],0)),1,1,"")</f>
        <v>1</v>
      </c>
      <c r="AH247" s="111">
        <v>3</v>
      </c>
      <c r="AI247" s="112">
        <v>2.608695652173913</v>
      </c>
      <c r="AJ247" s="111">
        <v>0</v>
      </c>
      <c r="AK247" s="112">
        <v>0</v>
      </c>
      <c r="AL247" s="111">
        <v>0</v>
      </c>
      <c r="AM247" s="112">
        <v>0</v>
      </c>
      <c r="AN247" s="111">
        <v>112</v>
      </c>
      <c r="AO247" s="112">
        <v>97.3913043478261</v>
      </c>
      <c r="AP247" s="111">
        <v>115</v>
      </c>
    </row>
    <row r="248" spans="1:42" ht="15">
      <c r="A248" s="65" t="s">
        <v>505</v>
      </c>
      <c r="B248" s="65" t="s">
        <v>369</v>
      </c>
      <c r="C248" s="66" t="s">
        <v>2942</v>
      </c>
      <c r="D248" s="67">
        <v>3</v>
      </c>
      <c r="E248" s="68"/>
      <c r="F248" s="69">
        <v>40</v>
      </c>
      <c r="G248" s="66"/>
      <c r="H248" s="70"/>
      <c r="I248" s="71"/>
      <c r="J248" s="71"/>
      <c r="K248" s="35" t="s">
        <v>66</v>
      </c>
      <c r="L248" s="79">
        <v>248</v>
      </c>
      <c r="M248" s="79"/>
      <c r="N248" s="73"/>
      <c r="O248" s="81" t="s">
        <v>563</v>
      </c>
      <c r="P248" s="81" t="s">
        <v>325</v>
      </c>
      <c r="Q248" s="84" t="s">
        <v>809</v>
      </c>
      <c r="R248" s="81" t="s">
        <v>505</v>
      </c>
      <c r="S248" s="81" t="s">
        <v>1018</v>
      </c>
      <c r="T248" s="86" t="str">
        <f>HYPERLINK("http://www.youtube.com/channel/UChq3AzwSatOknzk3fglc94w")</f>
        <v>http://www.youtube.com/channel/UChq3AzwSatOknzk3fglc94w</v>
      </c>
      <c r="U248" s="81"/>
      <c r="V248" s="81" t="s">
        <v>1128</v>
      </c>
      <c r="W248" s="86" t="str">
        <f>HYPERLINK("https://www.youtube.com/watch?v=PC-PgkhpsNc")</f>
        <v>https://www.youtube.com/watch?v=PC-PgkhpsNc</v>
      </c>
      <c r="X248" s="81" t="s">
        <v>1183</v>
      </c>
      <c r="Y248" s="81">
        <v>0</v>
      </c>
      <c r="Z248" s="88">
        <v>44234.852951388886</v>
      </c>
      <c r="AA248" s="88">
        <v>44234.852951388886</v>
      </c>
      <c r="AB248" s="81"/>
      <c r="AC248" s="81"/>
      <c r="AD248" s="84" t="s">
        <v>1239</v>
      </c>
      <c r="AE248" s="82">
        <v>1</v>
      </c>
      <c r="AF248" s="83" t="str">
        <f>REPLACE(INDEX(GroupVertices[Group],MATCH(Edges[[#This Row],[Vertex 1]],GroupVertices[Vertex],0)),1,1,"")</f>
        <v>1</v>
      </c>
      <c r="AG248" s="83" t="str">
        <f>REPLACE(INDEX(GroupVertices[Group],MATCH(Edges[[#This Row],[Vertex 2]],GroupVertices[Vertex],0)),1,1,"")</f>
        <v>1</v>
      </c>
      <c r="AH248" s="111">
        <v>0</v>
      </c>
      <c r="AI248" s="112">
        <v>0</v>
      </c>
      <c r="AJ248" s="111">
        <v>1</v>
      </c>
      <c r="AK248" s="112">
        <v>2.5641025641025643</v>
      </c>
      <c r="AL248" s="111">
        <v>0</v>
      </c>
      <c r="AM248" s="112">
        <v>0</v>
      </c>
      <c r="AN248" s="111">
        <v>38</v>
      </c>
      <c r="AO248" s="112">
        <v>97.43589743589743</v>
      </c>
      <c r="AP248" s="111">
        <v>39</v>
      </c>
    </row>
    <row r="249" spans="1:42" ht="15">
      <c r="A249" s="65" t="s">
        <v>506</v>
      </c>
      <c r="B249" s="65" t="s">
        <v>369</v>
      </c>
      <c r="C249" s="66" t="s">
        <v>2942</v>
      </c>
      <c r="D249" s="67">
        <v>3</v>
      </c>
      <c r="E249" s="68"/>
      <c r="F249" s="69">
        <v>40</v>
      </c>
      <c r="G249" s="66"/>
      <c r="H249" s="70"/>
      <c r="I249" s="71"/>
      <c r="J249" s="71"/>
      <c r="K249" s="35" t="s">
        <v>65</v>
      </c>
      <c r="L249" s="79">
        <v>249</v>
      </c>
      <c r="M249" s="79"/>
      <c r="N249" s="73"/>
      <c r="O249" s="81" t="s">
        <v>563</v>
      </c>
      <c r="P249" s="81" t="s">
        <v>325</v>
      </c>
      <c r="Q249" s="84" t="s">
        <v>810</v>
      </c>
      <c r="R249" s="81" t="s">
        <v>506</v>
      </c>
      <c r="S249" s="81" t="s">
        <v>1019</v>
      </c>
      <c r="T249" s="86" t="str">
        <f>HYPERLINK("http://www.youtube.com/channel/UCr0Eclqtwor1N3uAYG0Z3rw")</f>
        <v>http://www.youtube.com/channel/UCr0Eclqtwor1N3uAYG0Z3rw</v>
      </c>
      <c r="U249" s="81"/>
      <c r="V249" s="81" t="s">
        <v>1128</v>
      </c>
      <c r="W249" s="86" t="str">
        <f>HYPERLINK("https://www.youtube.com/watch?v=PC-PgkhpsNc")</f>
        <v>https://www.youtube.com/watch?v=PC-PgkhpsNc</v>
      </c>
      <c r="X249" s="81" t="s">
        <v>1183</v>
      </c>
      <c r="Y249" s="81">
        <v>0</v>
      </c>
      <c r="Z249" s="88">
        <v>44568.13930555555</v>
      </c>
      <c r="AA249" s="88">
        <v>44568.13930555555</v>
      </c>
      <c r="AB249" s="81"/>
      <c r="AC249" s="81"/>
      <c r="AD249" s="84" t="s">
        <v>1239</v>
      </c>
      <c r="AE249" s="82">
        <v>1</v>
      </c>
      <c r="AF249" s="83" t="str">
        <f>REPLACE(INDEX(GroupVertices[Group],MATCH(Edges[[#This Row],[Vertex 1]],GroupVertices[Vertex],0)),1,1,"")</f>
        <v>1</v>
      </c>
      <c r="AG249" s="83" t="str">
        <f>REPLACE(INDEX(GroupVertices[Group],MATCH(Edges[[#This Row],[Vertex 2]],GroupVertices[Vertex],0)),1,1,"")</f>
        <v>1</v>
      </c>
      <c r="AH249" s="111">
        <v>2</v>
      </c>
      <c r="AI249" s="112">
        <v>18.181818181818183</v>
      </c>
      <c r="AJ249" s="111">
        <v>0</v>
      </c>
      <c r="AK249" s="112">
        <v>0</v>
      </c>
      <c r="AL249" s="111">
        <v>0</v>
      </c>
      <c r="AM249" s="112">
        <v>0</v>
      </c>
      <c r="AN249" s="111">
        <v>9</v>
      </c>
      <c r="AO249" s="112">
        <v>81.81818181818181</v>
      </c>
      <c r="AP249" s="111">
        <v>11</v>
      </c>
    </row>
    <row r="250" spans="1:42" ht="15">
      <c r="A250" s="65" t="s">
        <v>507</v>
      </c>
      <c r="B250" s="65" t="s">
        <v>369</v>
      </c>
      <c r="C250" s="66" t="s">
        <v>2942</v>
      </c>
      <c r="D250" s="67">
        <v>3</v>
      </c>
      <c r="E250" s="68"/>
      <c r="F250" s="69">
        <v>40</v>
      </c>
      <c r="G250" s="66"/>
      <c r="H250" s="70"/>
      <c r="I250" s="71"/>
      <c r="J250" s="71"/>
      <c r="K250" s="35" t="s">
        <v>65</v>
      </c>
      <c r="L250" s="79">
        <v>250</v>
      </c>
      <c r="M250" s="79"/>
      <c r="N250" s="73"/>
      <c r="O250" s="81" t="s">
        <v>563</v>
      </c>
      <c r="P250" s="81" t="s">
        <v>325</v>
      </c>
      <c r="Q250" s="84" t="s">
        <v>811</v>
      </c>
      <c r="R250" s="81" t="s">
        <v>507</v>
      </c>
      <c r="S250" s="81" t="s">
        <v>1020</v>
      </c>
      <c r="T250" s="86" t="str">
        <f>HYPERLINK("http://www.youtube.com/channel/UC2uIoW3cCj7GB3UTuEDLV1w")</f>
        <v>http://www.youtube.com/channel/UC2uIoW3cCj7GB3UTuEDLV1w</v>
      </c>
      <c r="U250" s="81"/>
      <c r="V250" s="81" t="s">
        <v>1128</v>
      </c>
      <c r="W250" s="86" t="str">
        <f>HYPERLINK("https://www.youtube.com/watch?v=PC-PgkhpsNc")</f>
        <v>https://www.youtube.com/watch?v=PC-PgkhpsNc</v>
      </c>
      <c r="X250" s="81" t="s">
        <v>1183</v>
      </c>
      <c r="Y250" s="81">
        <v>0</v>
      </c>
      <c r="Z250" s="88">
        <v>44695.19590277778</v>
      </c>
      <c r="AA250" s="88">
        <v>44695.19590277778</v>
      </c>
      <c r="AB250" s="81"/>
      <c r="AC250" s="81"/>
      <c r="AD250" s="84" t="s">
        <v>1239</v>
      </c>
      <c r="AE250" s="82">
        <v>1</v>
      </c>
      <c r="AF250" s="83" t="str">
        <f>REPLACE(INDEX(GroupVertices[Group],MATCH(Edges[[#This Row],[Vertex 1]],GroupVertices[Vertex],0)),1,1,"")</f>
        <v>1</v>
      </c>
      <c r="AG250" s="83" t="str">
        <f>REPLACE(INDEX(GroupVertices[Group],MATCH(Edges[[#This Row],[Vertex 2]],GroupVertices[Vertex],0)),1,1,"")</f>
        <v>1</v>
      </c>
      <c r="AH250" s="111">
        <v>2</v>
      </c>
      <c r="AI250" s="112">
        <v>11.764705882352942</v>
      </c>
      <c r="AJ250" s="111">
        <v>0</v>
      </c>
      <c r="AK250" s="112">
        <v>0</v>
      </c>
      <c r="AL250" s="111">
        <v>0</v>
      </c>
      <c r="AM250" s="112">
        <v>0</v>
      </c>
      <c r="AN250" s="111">
        <v>15</v>
      </c>
      <c r="AO250" s="112">
        <v>88.23529411764706</v>
      </c>
      <c r="AP250" s="111">
        <v>17</v>
      </c>
    </row>
    <row r="251" spans="1:42" ht="15">
      <c r="A251" s="65" t="s">
        <v>508</v>
      </c>
      <c r="B251" s="65" t="s">
        <v>561</v>
      </c>
      <c r="C251" s="66" t="s">
        <v>2942</v>
      </c>
      <c r="D251" s="67">
        <v>3</v>
      </c>
      <c r="E251" s="68"/>
      <c r="F251" s="69">
        <v>40</v>
      </c>
      <c r="G251" s="66"/>
      <c r="H251" s="70"/>
      <c r="I251" s="71"/>
      <c r="J251" s="71"/>
      <c r="K251" s="35" t="s">
        <v>65</v>
      </c>
      <c r="L251" s="79">
        <v>251</v>
      </c>
      <c r="M251" s="79"/>
      <c r="N251" s="73"/>
      <c r="O251" s="81" t="s">
        <v>563</v>
      </c>
      <c r="P251" s="81" t="s">
        <v>325</v>
      </c>
      <c r="Q251" s="84" t="s">
        <v>812</v>
      </c>
      <c r="R251" s="81" t="s">
        <v>508</v>
      </c>
      <c r="S251" s="81" t="s">
        <v>1021</v>
      </c>
      <c r="T251" s="86" t="str">
        <f>HYPERLINK("http://www.youtube.com/channel/UCsq8SXE8cep1LI_Y8XfL4jg")</f>
        <v>http://www.youtube.com/channel/UCsq8SXE8cep1LI_Y8XfL4jg</v>
      </c>
      <c r="U251" s="81"/>
      <c r="V251" s="81" t="s">
        <v>1130</v>
      </c>
      <c r="W251" s="86" t="str">
        <f>HYPERLINK("https://www.youtube.com/watch?v=pwsImFyc0lE")</f>
        <v>https://www.youtube.com/watch?v=pwsImFyc0lE</v>
      </c>
      <c r="X251" s="81" t="s">
        <v>1183</v>
      </c>
      <c r="Y251" s="81">
        <v>0</v>
      </c>
      <c r="Z251" s="88">
        <v>41017.78212962963</v>
      </c>
      <c r="AA251" s="88">
        <v>41017.78212962963</v>
      </c>
      <c r="AB251" s="81"/>
      <c r="AC251" s="81"/>
      <c r="AD251" s="84" t="s">
        <v>1239</v>
      </c>
      <c r="AE251" s="82">
        <v>1</v>
      </c>
      <c r="AF251" s="83" t="str">
        <f>REPLACE(INDEX(GroupVertices[Group],MATCH(Edges[[#This Row],[Vertex 1]],GroupVertices[Vertex],0)),1,1,"")</f>
        <v>3</v>
      </c>
      <c r="AG251" s="83" t="str">
        <f>REPLACE(INDEX(GroupVertices[Group],MATCH(Edges[[#This Row],[Vertex 2]],GroupVertices[Vertex],0)),1,1,"")</f>
        <v>3</v>
      </c>
      <c r="AH251" s="111">
        <v>1</v>
      </c>
      <c r="AI251" s="112">
        <v>7.142857142857143</v>
      </c>
      <c r="AJ251" s="111">
        <v>0</v>
      </c>
      <c r="AK251" s="112">
        <v>0</v>
      </c>
      <c r="AL251" s="111">
        <v>0</v>
      </c>
      <c r="AM251" s="112">
        <v>0</v>
      </c>
      <c r="AN251" s="111">
        <v>13</v>
      </c>
      <c r="AO251" s="112">
        <v>92.85714285714286</v>
      </c>
      <c r="AP251" s="111">
        <v>14</v>
      </c>
    </row>
    <row r="252" spans="1:42" ht="15">
      <c r="A252" s="65" t="s">
        <v>509</v>
      </c>
      <c r="B252" s="65" t="s">
        <v>450</v>
      </c>
      <c r="C252" s="66" t="s">
        <v>2942</v>
      </c>
      <c r="D252" s="67">
        <v>3</v>
      </c>
      <c r="E252" s="68"/>
      <c r="F252" s="69">
        <v>40</v>
      </c>
      <c r="G252" s="66"/>
      <c r="H252" s="70"/>
      <c r="I252" s="71"/>
      <c r="J252" s="71"/>
      <c r="K252" s="35" t="s">
        <v>65</v>
      </c>
      <c r="L252" s="79">
        <v>252</v>
      </c>
      <c r="M252" s="79"/>
      <c r="N252" s="73"/>
      <c r="O252" s="81" t="s">
        <v>563</v>
      </c>
      <c r="P252" s="81" t="s">
        <v>325</v>
      </c>
      <c r="Q252" s="84" t="s">
        <v>813</v>
      </c>
      <c r="R252" s="81" t="s">
        <v>509</v>
      </c>
      <c r="S252" s="81" t="s">
        <v>1022</v>
      </c>
      <c r="T252" s="86" t="str">
        <f>HYPERLINK("http://www.youtube.com/channel/UC6JkDblmdOQF2NFTBJ5_4Ng")</f>
        <v>http://www.youtube.com/channel/UC6JkDblmdOQF2NFTBJ5_4Ng</v>
      </c>
      <c r="U252" s="81"/>
      <c r="V252" s="81" t="s">
        <v>1121</v>
      </c>
      <c r="W252" s="86" t="str">
        <f>HYPERLINK("https://www.youtube.com/watch?v=xKhYGRpbwOc")</f>
        <v>https://www.youtube.com/watch?v=xKhYGRpbwOc</v>
      </c>
      <c r="X252" s="81" t="s">
        <v>1183</v>
      </c>
      <c r="Y252" s="81">
        <v>0</v>
      </c>
      <c r="Z252" s="88">
        <v>41658.42018518518</v>
      </c>
      <c r="AA252" s="88">
        <v>41658.42018518518</v>
      </c>
      <c r="AB252" s="81"/>
      <c r="AC252" s="81"/>
      <c r="AD252" s="84" t="s">
        <v>1239</v>
      </c>
      <c r="AE252" s="82">
        <v>1</v>
      </c>
      <c r="AF252" s="83" t="str">
        <f>REPLACE(INDEX(GroupVertices[Group],MATCH(Edges[[#This Row],[Vertex 1]],GroupVertices[Vertex],0)),1,1,"")</f>
        <v>6</v>
      </c>
      <c r="AG252" s="83" t="str">
        <f>REPLACE(INDEX(GroupVertices[Group],MATCH(Edges[[#This Row],[Vertex 2]],GroupVertices[Vertex],0)),1,1,"")</f>
        <v>6</v>
      </c>
      <c r="AH252" s="111">
        <v>1</v>
      </c>
      <c r="AI252" s="112">
        <v>20</v>
      </c>
      <c r="AJ252" s="111">
        <v>0</v>
      </c>
      <c r="AK252" s="112">
        <v>0</v>
      </c>
      <c r="AL252" s="111">
        <v>0</v>
      </c>
      <c r="AM252" s="112">
        <v>0</v>
      </c>
      <c r="AN252" s="111">
        <v>4</v>
      </c>
      <c r="AO252" s="112">
        <v>80</v>
      </c>
      <c r="AP252" s="111">
        <v>5</v>
      </c>
    </row>
    <row r="253" spans="1:42" ht="15">
      <c r="A253" s="65" t="s">
        <v>509</v>
      </c>
      <c r="B253" s="65" t="s">
        <v>561</v>
      </c>
      <c r="C253" s="66" t="s">
        <v>2942</v>
      </c>
      <c r="D253" s="67">
        <v>3</v>
      </c>
      <c r="E253" s="68"/>
      <c r="F253" s="69">
        <v>40</v>
      </c>
      <c r="G253" s="66"/>
      <c r="H253" s="70"/>
      <c r="I253" s="71"/>
      <c r="J253" s="71"/>
      <c r="K253" s="35" t="s">
        <v>65</v>
      </c>
      <c r="L253" s="79">
        <v>253</v>
      </c>
      <c r="M253" s="79"/>
      <c r="N253" s="73"/>
      <c r="O253" s="81" t="s">
        <v>563</v>
      </c>
      <c r="P253" s="81" t="s">
        <v>325</v>
      </c>
      <c r="Q253" s="84" t="s">
        <v>814</v>
      </c>
      <c r="R253" s="81" t="s">
        <v>509</v>
      </c>
      <c r="S253" s="81" t="s">
        <v>1022</v>
      </c>
      <c r="T253" s="86" t="str">
        <f>HYPERLINK("http://www.youtube.com/channel/UC6JkDblmdOQF2NFTBJ5_4Ng")</f>
        <v>http://www.youtube.com/channel/UC6JkDblmdOQF2NFTBJ5_4Ng</v>
      </c>
      <c r="U253" s="81"/>
      <c r="V253" s="81" t="s">
        <v>1130</v>
      </c>
      <c r="W253" s="86" t="str">
        <f>HYPERLINK("https://www.youtube.com/watch?v=pwsImFyc0lE")</f>
        <v>https://www.youtube.com/watch?v=pwsImFyc0lE</v>
      </c>
      <c r="X253" s="81" t="s">
        <v>1183</v>
      </c>
      <c r="Y253" s="81">
        <v>0</v>
      </c>
      <c r="Z253" s="88">
        <v>41658.42982638889</v>
      </c>
      <c r="AA253" s="88">
        <v>41658.42982638889</v>
      </c>
      <c r="AB253" s="81"/>
      <c r="AC253" s="81"/>
      <c r="AD253" s="84" t="s">
        <v>1239</v>
      </c>
      <c r="AE253" s="82">
        <v>1</v>
      </c>
      <c r="AF253" s="83" t="str">
        <f>REPLACE(INDEX(GroupVertices[Group],MATCH(Edges[[#This Row],[Vertex 1]],GroupVertices[Vertex],0)),1,1,"")</f>
        <v>6</v>
      </c>
      <c r="AG253" s="83" t="str">
        <f>REPLACE(INDEX(GroupVertices[Group],MATCH(Edges[[#This Row],[Vertex 2]],GroupVertices[Vertex],0)),1,1,"")</f>
        <v>3</v>
      </c>
      <c r="AH253" s="111">
        <v>2</v>
      </c>
      <c r="AI253" s="112">
        <v>40</v>
      </c>
      <c r="AJ253" s="111">
        <v>0</v>
      </c>
      <c r="AK253" s="112">
        <v>0</v>
      </c>
      <c r="AL253" s="111">
        <v>0</v>
      </c>
      <c r="AM253" s="112">
        <v>0</v>
      </c>
      <c r="AN253" s="111">
        <v>3</v>
      </c>
      <c r="AO253" s="112">
        <v>60</v>
      </c>
      <c r="AP253" s="111">
        <v>5</v>
      </c>
    </row>
    <row r="254" spans="1:42" ht="15">
      <c r="A254" s="65" t="s">
        <v>510</v>
      </c>
      <c r="B254" s="65" t="s">
        <v>561</v>
      </c>
      <c r="C254" s="66" t="s">
        <v>2942</v>
      </c>
      <c r="D254" s="67">
        <v>3</v>
      </c>
      <c r="E254" s="68"/>
      <c r="F254" s="69">
        <v>40</v>
      </c>
      <c r="G254" s="66"/>
      <c r="H254" s="70"/>
      <c r="I254" s="71"/>
      <c r="J254" s="71"/>
      <c r="K254" s="35" t="s">
        <v>65</v>
      </c>
      <c r="L254" s="79">
        <v>254</v>
      </c>
      <c r="M254" s="79"/>
      <c r="N254" s="73"/>
      <c r="O254" s="81" t="s">
        <v>563</v>
      </c>
      <c r="P254" s="81" t="s">
        <v>325</v>
      </c>
      <c r="Q254" s="84" t="s">
        <v>815</v>
      </c>
      <c r="R254" s="81" t="s">
        <v>510</v>
      </c>
      <c r="S254" s="81" t="s">
        <v>1023</v>
      </c>
      <c r="T254" s="86" t="str">
        <f>HYPERLINK("http://www.youtube.com/channel/UC3M0dy_bsmIy5gLcvLHwahg")</f>
        <v>http://www.youtube.com/channel/UC3M0dy_bsmIy5gLcvLHwahg</v>
      </c>
      <c r="U254" s="81"/>
      <c r="V254" s="81" t="s">
        <v>1130</v>
      </c>
      <c r="W254" s="86" t="str">
        <f>HYPERLINK("https://www.youtube.com/watch?v=pwsImFyc0lE")</f>
        <v>https://www.youtube.com/watch?v=pwsImFyc0lE</v>
      </c>
      <c r="X254" s="81" t="s">
        <v>1183</v>
      </c>
      <c r="Y254" s="81">
        <v>1</v>
      </c>
      <c r="Z254" s="88">
        <v>42080.31930555555</v>
      </c>
      <c r="AA254" s="88">
        <v>42080.31930555555</v>
      </c>
      <c r="AB254" s="81"/>
      <c r="AC254" s="81"/>
      <c r="AD254" s="84" t="s">
        <v>1239</v>
      </c>
      <c r="AE254" s="82">
        <v>1</v>
      </c>
      <c r="AF254" s="83" t="str">
        <f>REPLACE(INDEX(GroupVertices[Group],MATCH(Edges[[#This Row],[Vertex 1]],GroupVertices[Vertex],0)),1,1,"")</f>
        <v>3</v>
      </c>
      <c r="AG254" s="83" t="str">
        <f>REPLACE(INDEX(GroupVertices[Group],MATCH(Edges[[#This Row],[Vertex 2]],GroupVertices[Vertex],0)),1,1,"")</f>
        <v>3</v>
      </c>
      <c r="AH254" s="111">
        <v>0</v>
      </c>
      <c r="AI254" s="112">
        <v>0</v>
      </c>
      <c r="AJ254" s="111">
        <v>0</v>
      </c>
      <c r="AK254" s="112">
        <v>0</v>
      </c>
      <c r="AL254" s="111">
        <v>0</v>
      </c>
      <c r="AM254" s="112">
        <v>0</v>
      </c>
      <c r="AN254" s="111">
        <v>9</v>
      </c>
      <c r="AO254" s="112">
        <v>100</v>
      </c>
      <c r="AP254" s="111">
        <v>9</v>
      </c>
    </row>
    <row r="255" spans="1:42" ht="15">
      <c r="A255" s="65" t="s">
        <v>511</v>
      </c>
      <c r="B255" s="65" t="s">
        <v>561</v>
      </c>
      <c r="C255" s="66" t="s">
        <v>2942</v>
      </c>
      <c r="D255" s="67">
        <v>3</v>
      </c>
      <c r="E255" s="68"/>
      <c r="F255" s="69">
        <v>40</v>
      </c>
      <c r="G255" s="66"/>
      <c r="H255" s="70"/>
      <c r="I255" s="71"/>
      <c r="J255" s="71"/>
      <c r="K255" s="35" t="s">
        <v>65</v>
      </c>
      <c r="L255" s="79">
        <v>255</v>
      </c>
      <c r="M255" s="79"/>
      <c r="N255" s="73"/>
      <c r="O255" s="81" t="s">
        <v>563</v>
      </c>
      <c r="P255" s="81" t="s">
        <v>325</v>
      </c>
      <c r="Q255" s="84" t="s">
        <v>816</v>
      </c>
      <c r="R255" s="81" t="s">
        <v>511</v>
      </c>
      <c r="S255" s="81" t="s">
        <v>1024</v>
      </c>
      <c r="T255" s="86" t="str">
        <f>HYPERLINK("http://www.youtube.com/channel/UC7zED_KFa6-AaMwyUpeSAAQ")</f>
        <v>http://www.youtube.com/channel/UC7zED_KFa6-AaMwyUpeSAAQ</v>
      </c>
      <c r="U255" s="81"/>
      <c r="V255" s="81" t="s">
        <v>1130</v>
      </c>
      <c r="W255" s="86" t="str">
        <f>HYPERLINK("https://www.youtube.com/watch?v=pwsImFyc0lE")</f>
        <v>https://www.youtube.com/watch?v=pwsImFyc0lE</v>
      </c>
      <c r="X255" s="81" t="s">
        <v>1183</v>
      </c>
      <c r="Y255" s="81">
        <v>1</v>
      </c>
      <c r="Z255" s="88">
        <v>42423.8584375</v>
      </c>
      <c r="AA255" s="88">
        <v>42423.8584375</v>
      </c>
      <c r="AB255" s="81"/>
      <c r="AC255" s="81"/>
      <c r="AD255" s="84" t="s">
        <v>1239</v>
      </c>
      <c r="AE255" s="82">
        <v>1</v>
      </c>
      <c r="AF255" s="83" t="str">
        <f>REPLACE(INDEX(GroupVertices[Group],MATCH(Edges[[#This Row],[Vertex 1]],GroupVertices[Vertex],0)),1,1,"")</f>
        <v>3</v>
      </c>
      <c r="AG255" s="83" t="str">
        <f>REPLACE(INDEX(GroupVertices[Group],MATCH(Edges[[#This Row],[Vertex 2]],GroupVertices[Vertex],0)),1,1,"")</f>
        <v>3</v>
      </c>
      <c r="AH255" s="111">
        <v>1</v>
      </c>
      <c r="AI255" s="112">
        <v>16.666666666666668</v>
      </c>
      <c r="AJ255" s="111">
        <v>0</v>
      </c>
      <c r="AK255" s="112">
        <v>0</v>
      </c>
      <c r="AL255" s="111">
        <v>0</v>
      </c>
      <c r="AM255" s="112">
        <v>0</v>
      </c>
      <c r="AN255" s="111">
        <v>5</v>
      </c>
      <c r="AO255" s="112">
        <v>83.33333333333333</v>
      </c>
      <c r="AP255" s="111">
        <v>6</v>
      </c>
    </row>
    <row r="256" spans="1:42" ht="15">
      <c r="A256" s="65" t="s">
        <v>512</v>
      </c>
      <c r="B256" s="65" t="s">
        <v>553</v>
      </c>
      <c r="C256" s="66" t="s">
        <v>2942</v>
      </c>
      <c r="D256" s="67">
        <v>3</v>
      </c>
      <c r="E256" s="68"/>
      <c r="F256" s="69">
        <v>40</v>
      </c>
      <c r="G256" s="66"/>
      <c r="H256" s="70"/>
      <c r="I256" s="71"/>
      <c r="J256" s="71"/>
      <c r="K256" s="35" t="s">
        <v>65</v>
      </c>
      <c r="L256" s="79">
        <v>256</v>
      </c>
      <c r="M256" s="79"/>
      <c r="N256" s="73"/>
      <c r="O256" s="81" t="s">
        <v>563</v>
      </c>
      <c r="P256" s="81" t="s">
        <v>325</v>
      </c>
      <c r="Q256" s="84" t="s">
        <v>817</v>
      </c>
      <c r="R256" s="81" t="s">
        <v>512</v>
      </c>
      <c r="S256" s="81" t="s">
        <v>1025</v>
      </c>
      <c r="T256" s="86" t="str">
        <f>HYPERLINK("http://www.youtube.com/channel/UCf8SkhKscLmAF_zofz-5VXQ")</f>
        <v>http://www.youtube.com/channel/UCf8SkhKscLmAF_zofz-5VXQ</v>
      </c>
      <c r="U256" s="81"/>
      <c r="V256" s="81" t="s">
        <v>1129</v>
      </c>
      <c r="W256" s="86" t="str">
        <f>HYPERLINK("https://www.youtube.com/watch?v=DfVp1zDYNLg")</f>
        <v>https://www.youtube.com/watch?v=DfVp1zDYNLg</v>
      </c>
      <c r="X256" s="81" t="s">
        <v>1183</v>
      </c>
      <c r="Y256" s="81">
        <v>0</v>
      </c>
      <c r="Z256" s="88">
        <v>42849.814409722225</v>
      </c>
      <c r="AA256" s="88">
        <v>42849.814409722225</v>
      </c>
      <c r="AB256" s="81" t="s">
        <v>1208</v>
      </c>
      <c r="AC256" s="81" t="s">
        <v>1221</v>
      </c>
      <c r="AD256" s="84" t="s">
        <v>1239</v>
      </c>
      <c r="AE256" s="82">
        <v>1</v>
      </c>
      <c r="AF256" s="83" t="str">
        <f>REPLACE(INDEX(GroupVertices[Group],MATCH(Edges[[#This Row],[Vertex 1]],GroupVertices[Vertex],0)),1,1,"")</f>
        <v>3</v>
      </c>
      <c r="AG256" s="83" t="str">
        <f>REPLACE(INDEX(GroupVertices[Group],MATCH(Edges[[#This Row],[Vertex 2]],GroupVertices[Vertex],0)),1,1,"")</f>
        <v>3</v>
      </c>
      <c r="AH256" s="111">
        <v>0</v>
      </c>
      <c r="AI256" s="112">
        <v>0</v>
      </c>
      <c r="AJ256" s="111">
        <v>0</v>
      </c>
      <c r="AK256" s="112">
        <v>0</v>
      </c>
      <c r="AL256" s="111">
        <v>0</v>
      </c>
      <c r="AM256" s="112">
        <v>0</v>
      </c>
      <c r="AN256" s="111">
        <v>39</v>
      </c>
      <c r="AO256" s="112">
        <v>100</v>
      </c>
      <c r="AP256" s="111">
        <v>39</v>
      </c>
    </row>
    <row r="257" spans="1:42" ht="15">
      <c r="A257" s="65" t="s">
        <v>512</v>
      </c>
      <c r="B257" s="65" t="s">
        <v>369</v>
      </c>
      <c r="C257" s="66" t="s">
        <v>2942</v>
      </c>
      <c r="D257" s="67">
        <v>3</v>
      </c>
      <c r="E257" s="68"/>
      <c r="F257" s="69">
        <v>40</v>
      </c>
      <c r="G257" s="66"/>
      <c r="H257" s="70"/>
      <c r="I257" s="71"/>
      <c r="J257" s="71"/>
      <c r="K257" s="35" t="s">
        <v>65</v>
      </c>
      <c r="L257" s="79">
        <v>257</v>
      </c>
      <c r="M257" s="79"/>
      <c r="N257" s="73"/>
      <c r="O257" s="81" t="s">
        <v>563</v>
      </c>
      <c r="P257" s="81" t="s">
        <v>325</v>
      </c>
      <c r="Q257" s="84" t="s">
        <v>818</v>
      </c>
      <c r="R257" s="81" t="s">
        <v>512</v>
      </c>
      <c r="S257" s="81" t="s">
        <v>1025</v>
      </c>
      <c r="T257" s="86" t="str">
        <f>HYPERLINK("http://www.youtube.com/channel/UCf8SkhKscLmAF_zofz-5VXQ")</f>
        <v>http://www.youtube.com/channel/UCf8SkhKscLmAF_zofz-5VXQ</v>
      </c>
      <c r="U257" s="81"/>
      <c r="V257" s="81" t="s">
        <v>1128</v>
      </c>
      <c r="W257" s="86" t="str">
        <f>HYPERLINK("https://www.youtube.com/watch?v=PC-PgkhpsNc")</f>
        <v>https://www.youtube.com/watch?v=PC-PgkhpsNc</v>
      </c>
      <c r="X257" s="81" t="s">
        <v>1183</v>
      </c>
      <c r="Y257" s="81">
        <v>0</v>
      </c>
      <c r="Z257" s="88">
        <v>42849.81332175926</v>
      </c>
      <c r="AA257" s="88">
        <v>42849.81332175926</v>
      </c>
      <c r="AB257" s="81" t="s">
        <v>1208</v>
      </c>
      <c r="AC257" s="81" t="s">
        <v>1221</v>
      </c>
      <c r="AD257" s="84" t="s">
        <v>1239</v>
      </c>
      <c r="AE257" s="82">
        <v>1</v>
      </c>
      <c r="AF257" s="83" t="str">
        <f>REPLACE(INDEX(GroupVertices[Group],MATCH(Edges[[#This Row],[Vertex 1]],GroupVertices[Vertex],0)),1,1,"")</f>
        <v>3</v>
      </c>
      <c r="AG257" s="83" t="str">
        <f>REPLACE(INDEX(GroupVertices[Group],MATCH(Edges[[#This Row],[Vertex 2]],GroupVertices[Vertex],0)),1,1,"")</f>
        <v>1</v>
      </c>
      <c r="AH257" s="111">
        <v>1</v>
      </c>
      <c r="AI257" s="112">
        <v>2.4390243902439024</v>
      </c>
      <c r="AJ257" s="111">
        <v>0</v>
      </c>
      <c r="AK257" s="112">
        <v>0</v>
      </c>
      <c r="AL257" s="111">
        <v>0</v>
      </c>
      <c r="AM257" s="112">
        <v>0</v>
      </c>
      <c r="AN257" s="111">
        <v>40</v>
      </c>
      <c r="AO257" s="112">
        <v>97.5609756097561</v>
      </c>
      <c r="AP257" s="111">
        <v>41</v>
      </c>
    </row>
    <row r="258" spans="1:42" ht="15">
      <c r="A258" s="65" t="s">
        <v>512</v>
      </c>
      <c r="B258" s="65" t="s">
        <v>561</v>
      </c>
      <c r="C258" s="66" t="s">
        <v>2942</v>
      </c>
      <c r="D258" s="67">
        <v>3</v>
      </c>
      <c r="E258" s="68"/>
      <c r="F258" s="69">
        <v>40</v>
      </c>
      <c r="G258" s="66"/>
      <c r="H258" s="70"/>
      <c r="I258" s="71"/>
      <c r="J258" s="71"/>
      <c r="K258" s="35" t="s">
        <v>65</v>
      </c>
      <c r="L258" s="79">
        <v>258</v>
      </c>
      <c r="M258" s="79"/>
      <c r="N258" s="73"/>
      <c r="O258" s="81" t="s">
        <v>563</v>
      </c>
      <c r="P258" s="81" t="s">
        <v>325</v>
      </c>
      <c r="Q258" s="84" t="s">
        <v>819</v>
      </c>
      <c r="R258" s="81" t="s">
        <v>512</v>
      </c>
      <c r="S258" s="81" t="s">
        <v>1025</v>
      </c>
      <c r="T258" s="86" t="str">
        <f>HYPERLINK("http://www.youtube.com/channel/UCf8SkhKscLmAF_zofz-5VXQ")</f>
        <v>http://www.youtube.com/channel/UCf8SkhKscLmAF_zofz-5VXQ</v>
      </c>
      <c r="U258" s="81"/>
      <c r="V258" s="81" t="s">
        <v>1130</v>
      </c>
      <c r="W258" s="86" t="str">
        <f>HYPERLINK("https://www.youtube.com/watch?v=pwsImFyc0lE")</f>
        <v>https://www.youtube.com/watch?v=pwsImFyc0lE</v>
      </c>
      <c r="X258" s="81" t="s">
        <v>1183</v>
      </c>
      <c r="Y258" s="81">
        <v>0</v>
      </c>
      <c r="Z258" s="88">
        <v>42849.81524305556</v>
      </c>
      <c r="AA258" s="88">
        <v>42849.81524305556</v>
      </c>
      <c r="AB258" s="81" t="s">
        <v>1208</v>
      </c>
      <c r="AC258" s="81" t="s">
        <v>1221</v>
      </c>
      <c r="AD258" s="84" t="s">
        <v>1239</v>
      </c>
      <c r="AE258" s="82">
        <v>1</v>
      </c>
      <c r="AF258" s="83" t="str">
        <f>REPLACE(INDEX(GroupVertices[Group],MATCH(Edges[[#This Row],[Vertex 1]],GroupVertices[Vertex],0)),1,1,"")</f>
        <v>3</v>
      </c>
      <c r="AG258" s="83" t="str">
        <f>REPLACE(INDEX(GroupVertices[Group],MATCH(Edges[[#This Row],[Vertex 2]],GroupVertices[Vertex],0)),1,1,"")</f>
        <v>3</v>
      </c>
      <c r="AH258" s="111">
        <v>0</v>
      </c>
      <c r="AI258" s="112">
        <v>0</v>
      </c>
      <c r="AJ258" s="111">
        <v>0</v>
      </c>
      <c r="AK258" s="112">
        <v>0</v>
      </c>
      <c r="AL258" s="111">
        <v>0</v>
      </c>
      <c r="AM258" s="112">
        <v>0</v>
      </c>
      <c r="AN258" s="111">
        <v>39</v>
      </c>
      <c r="AO258" s="112">
        <v>100</v>
      </c>
      <c r="AP258" s="111">
        <v>39</v>
      </c>
    </row>
    <row r="259" spans="1:42" ht="15">
      <c r="A259" s="65" t="s">
        <v>513</v>
      </c>
      <c r="B259" s="65" t="s">
        <v>561</v>
      </c>
      <c r="C259" s="66" t="s">
        <v>2942</v>
      </c>
      <c r="D259" s="67">
        <v>3</v>
      </c>
      <c r="E259" s="68"/>
      <c r="F259" s="69">
        <v>40</v>
      </c>
      <c r="G259" s="66"/>
      <c r="H259" s="70"/>
      <c r="I259" s="71"/>
      <c r="J259" s="71"/>
      <c r="K259" s="35" t="s">
        <v>65</v>
      </c>
      <c r="L259" s="79">
        <v>259</v>
      </c>
      <c r="M259" s="79"/>
      <c r="N259" s="73"/>
      <c r="O259" s="81" t="s">
        <v>563</v>
      </c>
      <c r="P259" s="81" t="s">
        <v>325</v>
      </c>
      <c r="Q259" s="84" t="s">
        <v>820</v>
      </c>
      <c r="R259" s="81" t="s">
        <v>513</v>
      </c>
      <c r="S259" s="81" t="s">
        <v>1026</v>
      </c>
      <c r="T259" s="86" t="str">
        <f>HYPERLINK("http://www.youtube.com/channel/UCk1PoOyEAavdmyr0VdVN1Zg")</f>
        <v>http://www.youtube.com/channel/UCk1PoOyEAavdmyr0VdVN1Zg</v>
      </c>
      <c r="U259" s="81"/>
      <c r="V259" s="81" t="s">
        <v>1130</v>
      </c>
      <c r="W259" s="86" t="str">
        <f>HYPERLINK("https://www.youtube.com/watch?v=pwsImFyc0lE")</f>
        <v>https://www.youtube.com/watch?v=pwsImFyc0lE</v>
      </c>
      <c r="X259" s="81" t="s">
        <v>1183</v>
      </c>
      <c r="Y259" s="81">
        <v>1</v>
      </c>
      <c r="Z259" s="88">
        <v>42982.92015046296</v>
      </c>
      <c r="AA259" s="88">
        <v>42982.92015046296</v>
      </c>
      <c r="AB259" s="81"/>
      <c r="AC259" s="81"/>
      <c r="AD259" s="84" t="s">
        <v>1239</v>
      </c>
      <c r="AE259" s="82">
        <v>1</v>
      </c>
      <c r="AF259" s="83" t="str">
        <f>REPLACE(INDEX(GroupVertices[Group],MATCH(Edges[[#This Row],[Vertex 1]],GroupVertices[Vertex],0)),1,1,"")</f>
        <v>3</v>
      </c>
      <c r="AG259" s="83" t="str">
        <f>REPLACE(INDEX(GroupVertices[Group],MATCH(Edges[[#This Row],[Vertex 2]],GroupVertices[Vertex],0)),1,1,"")</f>
        <v>3</v>
      </c>
      <c r="AH259" s="111">
        <v>2</v>
      </c>
      <c r="AI259" s="112">
        <v>3.1746031746031744</v>
      </c>
      <c r="AJ259" s="111">
        <v>3</v>
      </c>
      <c r="AK259" s="112">
        <v>4.761904761904762</v>
      </c>
      <c r="AL259" s="111">
        <v>0</v>
      </c>
      <c r="AM259" s="112">
        <v>0</v>
      </c>
      <c r="AN259" s="111">
        <v>58</v>
      </c>
      <c r="AO259" s="112">
        <v>92.06349206349206</v>
      </c>
      <c r="AP259" s="111">
        <v>63</v>
      </c>
    </row>
    <row r="260" spans="1:42" ht="15">
      <c r="A260" s="65" t="s">
        <v>514</v>
      </c>
      <c r="B260" s="65" t="s">
        <v>561</v>
      </c>
      <c r="C260" s="66" t="s">
        <v>2942</v>
      </c>
      <c r="D260" s="67">
        <v>3</v>
      </c>
      <c r="E260" s="68"/>
      <c r="F260" s="69">
        <v>40</v>
      </c>
      <c r="G260" s="66"/>
      <c r="H260" s="70"/>
      <c r="I260" s="71"/>
      <c r="J260" s="71"/>
      <c r="K260" s="35" t="s">
        <v>65</v>
      </c>
      <c r="L260" s="79">
        <v>260</v>
      </c>
      <c r="M260" s="79"/>
      <c r="N260" s="73"/>
      <c r="O260" s="81" t="s">
        <v>563</v>
      </c>
      <c r="P260" s="81" t="s">
        <v>325</v>
      </c>
      <c r="Q260" s="84" t="s">
        <v>821</v>
      </c>
      <c r="R260" s="81" t="s">
        <v>514</v>
      </c>
      <c r="S260" s="81" t="s">
        <v>1027</v>
      </c>
      <c r="T260" s="86" t="str">
        <f>HYPERLINK("http://www.youtube.com/channel/UCxH7QekYGX6Zj7xDozlqXbg")</f>
        <v>http://www.youtube.com/channel/UCxH7QekYGX6Zj7xDozlqXbg</v>
      </c>
      <c r="U260" s="81"/>
      <c r="V260" s="81" t="s">
        <v>1130</v>
      </c>
      <c r="W260" s="86" t="str">
        <f>HYPERLINK("https://www.youtube.com/watch?v=pwsImFyc0lE")</f>
        <v>https://www.youtube.com/watch?v=pwsImFyc0lE</v>
      </c>
      <c r="X260" s="81" t="s">
        <v>1183</v>
      </c>
      <c r="Y260" s="81">
        <v>0</v>
      </c>
      <c r="Z260" s="88">
        <v>43282.67969907408</v>
      </c>
      <c r="AA260" s="88">
        <v>43282.67969907408</v>
      </c>
      <c r="AB260" s="81"/>
      <c r="AC260" s="81"/>
      <c r="AD260" s="84" t="s">
        <v>1239</v>
      </c>
      <c r="AE260" s="82">
        <v>1</v>
      </c>
      <c r="AF260" s="83" t="str">
        <f>REPLACE(INDEX(GroupVertices[Group],MATCH(Edges[[#This Row],[Vertex 1]],GroupVertices[Vertex],0)),1,1,"")</f>
        <v>3</v>
      </c>
      <c r="AG260" s="83" t="str">
        <f>REPLACE(INDEX(GroupVertices[Group],MATCH(Edges[[#This Row],[Vertex 2]],GroupVertices[Vertex],0)),1,1,"")</f>
        <v>3</v>
      </c>
      <c r="AH260" s="111">
        <v>0</v>
      </c>
      <c r="AI260" s="112">
        <v>0</v>
      </c>
      <c r="AJ260" s="111">
        <v>1</v>
      </c>
      <c r="AK260" s="112">
        <v>33.333333333333336</v>
      </c>
      <c r="AL260" s="111">
        <v>0</v>
      </c>
      <c r="AM260" s="112">
        <v>0</v>
      </c>
      <c r="AN260" s="111">
        <v>2</v>
      </c>
      <c r="AO260" s="112">
        <v>66.66666666666667</v>
      </c>
      <c r="AP260" s="111">
        <v>3</v>
      </c>
    </row>
    <row r="261" spans="1:42" ht="15">
      <c r="A261" s="65" t="s">
        <v>369</v>
      </c>
      <c r="B261" s="65" t="s">
        <v>515</v>
      </c>
      <c r="C261" s="66" t="s">
        <v>2942</v>
      </c>
      <c r="D261" s="67">
        <v>3</v>
      </c>
      <c r="E261" s="68"/>
      <c r="F261" s="69">
        <v>40</v>
      </c>
      <c r="G261" s="66"/>
      <c r="H261" s="70"/>
      <c r="I261" s="71"/>
      <c r="J261" s="71"/>
      <c r="K261" s="35" t="s">
        <v>66</v>
      </c>
      <c r="L261" s="79">
        <v>261</v>
      </c>
      <c r="M261" s="79"/>
      <c r="N261" s="73"/>
      <c r="O261" s="81" t="s">
        <v>564</v>
      </c>
      <c r="P261" s="81" t="s">
        <v>566</v>
      </c>
      <c r="Q261" s="84" t="s">
        <v>822</v>
      </c>
      <c r="R261" s="81" t="s">
        <v>369</v>
      </c>
      <c r="S261" s="81" t="s">
        <v>882</v>
      </c>
      <c r="T261" s="86" t="str">
        <f>HYPERLINK("http://www.youtube.com/channel/UCerAw4EfTOnYYxLLPZAzMxQ")</f>
        <v>http://www.youtube.com/channel/UCerAw4EfTOnYYxLLPZAzMxQ</v>
      </c>
      <c r="U261" s="81" t="s">
        <v>1086</v>
      </c>
      <c r="V261" s="81" t="s">
        <v>1107</v>
      </c>
      <c r="W261" s="86" t="str">
        <f>HYPERLINK("https://www.youtube.com/watch?v=AyMwPYpmYng")</f>
        <v>https://www.youtube.com/watch?v=AyMwPYpmYng</v>
      </c>
      <c r="X261" s="81" t="s">
        <v>1183</v>
      </c>
      <c r="Y261" s="81">
        <v>1</v>
      </c>
      <c r="Z261" s="88">
        <v>43485.58642361111</v>
      </c>
      <c r="AA261" s="88">
        <v>43485.58642361111</v>
      </c>
      <c r="AB261" s="81"/>
      <c r="AC261" s="81"/>
      <c r="AD261" s="84" t="s">
        <v>1239</v>
      </c>
      <c r="AE261" s="82">
        <v>1</v>
      </c>
      <c r="AF261" s="83" t="str">
        <f>REPLACE(INDEX(GroupVertices[Group],MATCH(Edges[[#This Row],[Vertex 1]],GroupVertices[Vertex],0)),1,1,"")</f>
        <v>1</v>
      </c>
      <c r="AG261" s="83" t="str">
        <f>REPLACE(INDEX(GroupVertices[Group],MATCH(Edges[[#This Row],[Vertex 2]],GroupVertices[Vertex],0)),1,1,"")</f>
        <v>3</v>
      </c>
      <c r="AH261" s="111">
        <v>3</v>
      </c>
      <c r="AI261" s="112">
        <v>1.639344262295082</v>
      </c>
      <c r="AJ261" s="111">
        <v>4</v>
      </c>
      <c r="AK261" s="112">
        <v>2.185792349726776</v>
      </c>
      <c r="AL261" s="111">
        <v>0</v>
      </c>
      <c r="AM261" s="112">
        <v>0</v>
      </c>
      <c r="AN261" s="111">
        <v>176</v>
      </c>
      <c r="AO261" s="112">
        <v>96.17486338797814</v>
      </c>
      <c r="AP261" s="111">
        <v>183</v>
      </c>
    </row>
    <row r="262" spans="1:42" ht="15">
      <c r="A262" s="65" t="s">
        <v>515</v>
      </c>
      <c r="B262" s="65" t="s">
        <v>369</v>
      </c>
      <c r="C262" s="66" t="s">
        <v>2943</v>
      </c>
      <c r="D262" s="67">
        <v>4.4</v>
      </c>
      <c r="E262" s="68"/>
      <c r="F262" s="69">
        <v>35</v>
      </c>
      <c r="G262" s="66"/>
      <c r="H262" s="70"/>
      <c r="I262" s="71"/>
      <c r="J262" s="71"/>
      <c r="K262" s="35" t="s">
        <v>66</v>
      </c>
      <c r="L262" s="79">
        <v>262</v>
      </c>
      <c r="M262" s="79"/>
      <c r="N262" s="73"/>
      <c r="O262" s="81" t="s">
        <v>563</v>
      </c>
      <c r="P262" s="81" t="s">
        <v>325</v>
      </c>
      <c r="Q262" s="84" t="s">
        <v>823</v>
      </c>
      <c r="R262" s="81" t="s">
        <v>515</v>
      </c>
      <c r="S262" s="81" t="s">
        <v>1028</v>
      </c>
      <c r="T262" s="86" t="str">
        <f>HYPERLINK("http://www.youtube.com/channel/UCKrUAYzPSyq1cBlKN08M6qw")</f>
        <v>http://www.youtube.com/channel/UCKrUAYzPSyq1cBlKN08M6qw</v>
      </c>
      <c r="U262" s="81"/>
      <c r="V262" s="81" t="s">
        <v>1107</v>
      </c>
      <c r="W262" s="86" t="str">
        <f>HYPERLINK("https://www.youtube.com/watch?v=AyMwPYpmYng")</f>
        <v>https://www.youtube.com/watch?v=AyMwPYpmYng</v>
      </c>
      <c r="X262" s="81" t="s">
        <v>1183</v>
      </c>
      <c r="Y262" s="81">
        <v>0</v>
      </c>
      <c r="Z262" s="88">
        <v>43484.4603587963</v>
      </c>
      <c r="AA262" s="88">
        <v>43484.4603587963</v>
      </c>
      <c r="AB262" s="81"/>
      <c r="AC262" s="81"/>
      <c r="AD262" s="84" t="s">
        <v>1239</v>
      </c>
      <c r="AE262" s="82">
        <v>2</v>
      </c>
      <c r="AF262" s="83" t="str">
        <f>REPLACE(INDEX(GroupVertices[Group],MATCH(Edges[[#This Row],[Vertex 1]],GroupVertices[Vertex],0)),1,1,"")</f>
        <v>3</v>
      </c>
      <c r="AG262" s="83" t="str">
        <f>REPLACE(INDEX(GroupVertices[Group],MATCH(Edges[[#This Row],[Vertex 2]],GroupVertices[Vertex],0)),1,1,"")</f>
        <v>1</v>
      </c>
      <c r="AH262" s="111">
        <v>1</v>
      </c>
      <c r="AI262" s="112">
        <v>3.125</v>
      </c>
      <c r="AJ262" s="111">
        <v>0</v>
      </c>
      <c r="AK262" s="112">
        <v>0</v>
      </c>
      <c r="AL262" s="111">
        <v>0</v>
      </c>
      <c r="AM262" s="112">
        <v>0</v>
      </c>
      <c r="AN262" s="111">
        <v>31</v>
      </c>
      <c r="AO262" s="112">
        <v>96.875</v>
      </c>
      <c r="AP262" s="111">
        <v>32</v>
      </c>
    </row>
    <row r="263" spans="1:42" ht="15">
      <c r="A263" s="65" t="s">
        <v>515</v>
      </c>
      <c r="B263" s="65" t="s">
        <v>369</v>
      </c>
      <c r="C263" s="66" t="s">
        <v>2943</v>
      </c>
      <c r="D263" s="67">
        <v>4.4</v>
      </c>
      <c r="E263" s="68"/>
      <c r="F263" s="69">
        <v>35</v>
      </c>
      <c r="G263" s="66"/>
      <c r="H263" s="70"/>
      <c r="I263" s="71"/>
      <c r="J263" s="71"/>
      <c r="K263" s="35" t="s">
        <v>66</v>
      </c>
      <c r="L263" s="79">
        <v>263</v>
      </c>
      <c r="M263" s="79"/>
      <c r="N263" s="73"/>
      <c r="O263" s="81" t="s">
        <v>563</v>
      </c>
      <c r="P263" s="81" t="s">
        <v>325</v>
      </c>
      <c r="Q263" s="84" t="s">
        <v>824</v>
      </c>
      <c r="R263" s="81" t="s">
        <v>515</v>
      </c>
      <c r="S263" s="81" t="s">
        <v>1028</v>
      </c>
      <c r="T263" s="86" t="str">
        <f>HYPERLINK("http://www.youtube.com/channel/UCKrUAYzPSyq1cBlKN08M6qw")</f>
        <v>http://www.youtube.com/channel/UCKrUAYzPSyq1cBlKN08M6qw</v>
      </c>
      <c r="U263" s="81"/>
      <c r="V263" s="81" t="s">
        <v>1126</v>
      </c>
      <c r="W263" s="86" t="str">
        <f>HYPERLINK("https://www.youtube.com/watch?v=Gs4NPuKIXdo")</f>
        <v>https://www.youtube.com/watch?v=Gs4NPuKIXdo</v>
      </c>
      <c r="X263" s="81" t="s">
        <v>1183</v>
      </c>
      <c r="Y263" s="81">
        <v>0</v>
      </c>
      <c r="Z263" s="88">
        <v>43466.5168287037</v>
      </c>
      <c r="AA263" s="88">
        <v>43466.5168287037</v>
      </c>
      <c r="AB263" s="81"/>
      <c r="AC263" s="81"/>
      <c r="AD263" s="84" t="s">
        <v>1239</v>
      </c>
      <c r="AE263" s="82">
        <v>2</v>
      </c>
      <c r="AF263" s="83" t="str">
        <f>REPLACE(INDEX(GroupVertices[Group],MATCH(Edges[[#This Row],[Vertex 1]],GroupVertices[Vertex],0)),1,1,"")</f>
        <v>3</v>
      </c>
      <c r="AG263" s="83" t="str">
        <f>REPLACE(INDEX(GroupVertices[Group],MATCH(Edges[[#This Row],[Vertex 2]],GroupVertices[Vertex],0)),1,1,"")</f>
        <v>1</v>
      </c>
      <c r="AH263" s="111">
        <v>0</v>
      </c>
      <c r="AI263" s="112">
        <v>0</v>
      </c>
      <c r="AJ263" s="111">
        <v>0</v>
      </c>
      <c r="AK263" s="112">
        <v>0</v>
      </c>
      <c r="AL263" s="111">
        <v>0</v>
      </c>
      <c r="AM263" s="112">
        <v>0</v>
      </c>
      <c r="AN263" s="111">
        <v>31</v>
      </c>
      <c r="AO263" s="112">
        <v>100</v>
      </c>
      <c r="AP263" s="111">
        <v>31</v>
      </c>
    </row>
    <row r="264" spans="1:42" ht="15">
      <c r="A264" s="65" t="s">
        <v>515</v>
      </c>
      <c r="B264" s="65" t="s">
        <v>561</v>
      </c>
      <c r="C264" s="66" t="s">
        <v>2942</v>
      </c>
      <c r="D264" s="67">
        <v>3</v>
      </c>
      <c r="E264" s="68"/>
      <c r="F264" s="69">
        <v>40</v>
      </c>
      <c r="G264" s="66"/>
      <c r="H264" s="70"/>
      <c r="I264" s="71"/>
      <c r="J264" s="71"/>
      <c r="K264" s="35" t="s">
        <v>65</v>
      </c>
      <c r="L264" s="79">
        <v>264</v>
      </c>
      <c r="M264" s="79"/>
      <c r="N264" s="73"/>
      <c r="O264" s="81" t="s">
        <v>563</v>
      </c>
      <c r="P264" s="81" t="s">
        <v>325</v>
      </c>
      <c r="Q264" s="84" t="s">
        <v>825</v>
      </c>
      <c r="R264" s="81" t="s">
        <v>515</v>
      </c>
      <c r="S264" s="81" t="s">
        <v>1028</v>
      </c>
      <c r="T264" s="86" t="str">
        <f>HYPERLINK("http://www.youtube.com/channel/UCKrUAYzPSyq1cBlKN08M6qw")</f>
        <v>http://www.youtube.com/channel/UCKrUAYzPSyq1cBlKN08M6qw</v>
      </c>
      <c r="U264" s="81"/>
      <c r="V264" s="81" t="s">
        <v>1130</v>
      </c>
      <c r="W264" s="86" t="str">
        <f>HYPERLINK("https://www.youtube.com/watch?v=pwsImFyc0lE")</f>
        <v>https://www.youtube.com/watch?v=pwsImFyc0lE</v>
      </c>
      <c r="X264" s="81" t="s">
        <v>1183</v>
      </c>
      <c r="Y264" s="81">
        <v>0</v>
      </c>
      <c r="Z264" s="88">
        <v>43467.948900462965</v>
      </c>
      <c r="AA264" s="88">
        <v>43467.948900462965</v>
      </c>
      <c r="AB264" s="81"/>
      <c r="AC264" s="81"/>
      <c r="AD264" s="84" t="s">
        <v>1239</v>
      </c>
      <c r="AE264" s="82">
        <v>1</v>
      </c>
      <c r="AF264" s="83" t="str">
        <f>REPLACE(INDEX(GroupVertices[Group],MATCH(Edges[[#This Row],[Vertex 1]],GroupVertices[Vertex],0)),1,1,"")</f>
        <v>3</v>
      </c>
      <c r="AG264" s="83" t="str">
        <f>REPLACE(INDEX(GroupVertices[Group],MATCH(Edges[[#This Row],[Vertex 2]],GroupVertices[Vertex],0)),1,1,"")</f>
        <v>3</v>
      </c>
      <c r="AH264" s="111">
        <v>1</v>
      </c>
      <c r="AI264" s="112">
        <v>12.5</v>
      </c>
      <c r="AJ264" s="111">
        <v>0</v>
      </c>
      <c r="AK264" s="112">
        <v>0</v>
      </c>
      <c r="AL264" s="111">
        <v>0</v>
      </c>
      <c r="AM264" s="112">
        <v>0</v>
      </c>
      <c r="AN264" s="111">
        <v>7</v>
      </c>
      <c r="AO264" s="112">
        <v>87.5</v>
      </c>
      <c r="AP264" s="111">
        <v>8</v>
      </c>
    </row>
    <row r="265" spans="1:42" ht="15">
      <c r="A265" s="65" t="s">
        <v>369</v>
      </c>
      <c r="B265" s="65" t="s">
        <v>516</v>
      </c>
      <c r="C265" s="66" t="s">
        <v>2942</v>
      </c>
      <c r="D265" s="67">
        <v>3</v>
      </c>
      <c r="E265" s="68"/>
      <c r="F265" s="69">
        <v>40</v>
      </c>
      <c r="G265" s="66"/>
      <c r="H265" s="70"/>
      <c r="I265" s="71"/>
      <c r="J265" s="71"/>
      <c r="K265" s="35" t="s">
        <v>66</v>
      </c>
      <c r="L265" s="79">
        <v>265</v>
      </c>
      <c r="M265" s="79"/>
      <c r="N265" s="73"/>
      <c r="O265" s="81" t="s">
        <v>564</v>
      </c>
      <c r="P265" s="81" t="s">
        <v>566</v>
      </c>
      <c r="Q265" s="84" t="s">
        <v>826</v>
      </c>
      <c r="R265" s="81" t="s">
        <v>369</v>
      </c>
      <c r="S265" s="81" t="s">
        <v>882</v>
      </c>
      <c r="T265" s="86" t="str">
        <f>HYPERLINK("http://www.youtube.com/channel/UCerAw4EfTOnYYxLLPZAzMxQ")</f>
        <v>http://www.youtube.com/channel/UCerAw4EfTOnYYxLLPZAzMxQ</v>
      </c>
      <c r="U265" s="81" t="s">
        <v>1087</v>
      </c>
      <c r="V265" s="81" t="s">
        <v>1126</v>
      </c>
      <c r="W265" s="86" t="str">
        <f>HYPERLINK("https://www.youtube.com/watch?v=Gs4NPuKIXdo")</f>
        <v>https://www.youtube.com/watch?v=Gs4NPuKIXdo</v>
      </c>
      <c r="X265" s="81" t="s">
        <v>1183</v>
      </c>
      <c r="Y265" s="81">
        <v>0</v>
      </c>
      <c r="Z265" s="88">
        <v>43536.95967592593</v>
      </c>
      <c r="AA265" s="88">
        <v>43536.95967592593</v>
      </c>
      <c r="AB265" s="81"/>
      <c r="AC265" s="81"/>
      <c r="AD265" s="84" t="s">
        <v>1239</v>
      </c>
      <c r="AE265" s="82">
        <v>1</v>
      </c>
      <c r="AF265" s="83" t="str">
        <f>REPLACE(INDEX(GroupVertices[Group],MATCH(Edges[[#This Row],[Vertex 1]],GroupVertices[Vertex],0)),1,1,"")</f>
        <v>1</v>
      </c>
      <c r="AG265" s="83" t="str">
        <f>REPLACE(INDEX(GroupVertices[Group],MATCH(Edges[[#This Row],[Vertex 2]],GroupVertices[Vertex],0)),1,1,"")</f>
        <v>3</v>
      </c>
      <c r="AH265" s="111">
        <v>0</v>
      </c>
      <c r="AI265" s="112">
        <v>0</v>
      </c>
      <c r="AJ265" s="111">
        <v>1</v>
      </c>
      <c r="AK265" s="112">
        <v>6.666666666666667</v>
      </c>
      <c r="AL265" s="111">
        <v>0</v>
      </c>
      <c r="AM265" s="112">
        <v>0</v>
      </c>
      <c r="AN265" s="111">
        <v>14</v>
      </c>
      <c r="AO265" s="112">
        <v>93.33333333333333</v>
      </c>
      <c r="AP265" s="111">
        <v>15</v>
      </c>
    </row>
    <row r="266" spans="1:42" ht="15">
      <c r="A266" s="65" t="s">
        <v>516</v>
      </c>
      <c r="B266" s="65" t="s">
        <v>369</v>
      </c>
      <c r="C266" s="66" t="s">
        <v>2942</v>
      </c>
      <c r="D266" s="67">
        <v>3</v>
      </c>
      <c r="E266" s="68"/>
      <c r="F266" s="69">
        <v>40</v>
      </c>
      <c r="G266" s="66"/>
      <c r="H266" s="70"/>
      <c r="I266" s="71"/>
      <c r="J266" s="71"/>
      <c r="K266" s="35" t="s">
        <v>66</v>
      </c>
      <c r="L266" s="79">
        <v>266</v>
      </c>
      <c r="M266" s="79"/>
      <c r="N266" s="73"/>
      <c r="O266" s="81" t="s">
        <v>563</v>
      </c>
      <c r="P266" s="81" t="s">
        <v>325</v>
      </c>
      <c r="Q266" s="84" t="s">
        <v>827</v>
      </c>
      <c r="R266" s="81" t="s">
        <v>516</v>
      </c>
      <c r="S266" s="81" t="s">
        <v>1029</v>
      </c>
      <c r="T266" s="86" t="str">
        <f>HYPERLINK("http://www.youtube.com/channel/UCkLPx3Y2qhbDjUwEQRqLv0A")</f>
        <v>http://www.youtube.com/channel/UCkLPx3Y2qhbDjUwEQRqLv0A</v>
      </c>
      <c r="U266" s="81"/>
      <c r="V266" s="81" t="s">
        <v>1126</v>
      </c>
      <c r="W266" s="86" t="str">
        <f>HYPERLINK("https://www.youtube.com/watch?v=Gs4NPuKIXdo")</f>
        <v>https://www.youtube.com/watch?v=Gs4NPuKIXdo</v>
      </c>
      <c r="X266" s="81" t="s">
        <v>1183</v>
      </c>
      <c r="Y266" s="81">
        <v>0</v>
      </c>
      <c r="Z266" s="88">
        <v>43536.700277777774</v>
      </c>
      <c r="AA266" s="88">
        <v>43536.700277777774</v>
      </c>
      <c r="AB266" s="81"/>
      <c r="AC266" s="81"/>
      <c r="AD266" s="84" t="s">
        <v>1239</v>
      </c>
      <c r="AE266" s="82">
        <v>1</v>
      </c>
      <c r="AF266" s="83" t="str">
        <f>REPLACE(INDEX(GroupVertices[Group],MATCH(Edges[[#This Row],[Vertex 1]],GroupVertices[Vertex],0)),1,1,"")</f>
        <v>3</v>
      </c>
      <c r="AG266" s="83" t="str">
        <f>REPLACE(INDEX(GroupVertices[Group],MATCH(Edges[[#This Row],[Vertex 2]],GroupVertices[Vertex],0)),1,1,"")</f>
        <v>1</v>
      </c>
      <c r="AH266" s="111">
        <v>1</v>
      </c>
      <c r="AI266" s="112">
        <v>10</v>
      </c>
      <c r="AJ266" s="111">
        <v>0</v>
      </c>
      <c r="AK266" s="112">
        <v>0</v>
      </c>
      <c r="AL266" s="111">
        <v>0</v>
      </c>
      <c r="AM266" s="112">
        <v>0</v>
      </c>
      <c r="AN266" s="111">
        <v>9</v>
      </c>
      <c r="AO266" s="112">
        <v>90</v>
      </c>
      <c r="AP266" s="111">
        <v>10</v>
      </c>
    </row>
    <row r="267" spans="1:42" ht="15">
      <c r="A267" s="65" t="s">
        <v>516</v>
      </c>
      <c r="B267" s="65" t="s">
        <v>561</v>
      </c>
      <c r="C267" s="66" t="s">
        <v>2942</v>
      </c>
      <c r="D267" s="67">
        <v>3</v>
      </c>
      <c r="E267" s="68"/>
      <c r="F267" s="69">
        <v>40</v>
      </c>
      <c r="G267" s="66"/>
      <c r="H267" s="70"/>
      <c r="I267" s="71"/>
      <c r="J267" s="71"/>
      <c r="K267" s="35" t="s">
        <v>65</v>
      </c>
      <c r="L267" s="79">
        <v>267</v>
      </c>
      <c r="M267" s="79"/>
      <c r="N267" s="73"/>
      <c r="O267" s="81" t="s">
        <v>563</v>
      </c>
      <c r="P267" s="81" t="s">
        <v>325</v>
      </c>
      <c r="Q267" s="84" t="s">
        <v>828</v>
      </c>
      <c r="R267" s="81" t="s">
        <v>516</v>
      </c>
      <c r="S267" s="81" t="s">
        <v>1029</v>
      </c>
      <c r="T267" s="86" t="str">
        <f>HYPERLINK("http://www.youtube.com/channel/UCkLPx3Y2qhbDjUwEQRqLv0A")</f>
        <v>http://www.youtube.com/channel/UCkLPx3Y2qhbDjUwEQRqLv0A</v>
      </c>
      <c r="U267" s="81"/>
      <c r="V267" s="81" t="s">
        <v>1130</v>
      </c>
      <c r="W267" s="86" t="str">
        <f>HYPERLINK("https://www.youtube.com/watch?v=pwsImFyc0lE")</f>
        <v>https://www.youtube.com/watch?v=pwsImFyc0lE</v>
      </c>
      <c r="X267" s="81" t="s">
        <v>1183</v>
      </c>
      <c r="Y267" s="81">
        <v>1</v>
      </c>
      <c r="Z267" s="88">
        <v>43536.69929398148</v>
      </c>
      <c r="AA267" s="88">
        <v>43536.69929398148</v>
      </c>
      <c r="AB267" s="81"/>
      <c r="AC267" s="81"/>
      <c r="AD267" s="84" t="s">
        <v>1239</v>
      </c>
      <c r="AE267" s="82">
        <v>1</v>
      </c>
      <c r="AF267" s="83" t="str">
        <f>REPLACE(INDEX(GroupVertices[Group],MATCH(Edges[[#This Row],[Vertex 1]],GroupVertices[Vertex],0)),1,1,"")</f>
        <v>3</v>
      </c>
      <c r="AG267" s="83" t="str">
        <f>REPLACE(INDEX(GroupVertices[Group],MATCH(Edges[[#This Row],[Vertex 2]],GroupVertices[Vertex],0)),1,1,"")</f>
        <v>3</v>
      </c>
      <c r="AH267" s="111">
        <v>1</v>
      </c>
      <c r="AI267" s="112">
        <v>9.090909090909092</v>
      </c>
      <c r="AJ267" s="111">
        <v>0</v>
      </c>
      <c r="AK267" s="112">
        <v>0</v>
      </c>
      <c r="AL267" s="111">
        <v>0</v>
      </c>
      <c r="AM267" s="112">
        <v>0</v>
      </c>
      <c r="AN267" s="111">
        <v>10</v>
      </c>
      <c r="AO267" s="112">
        <v>90.9090909090909</v>
      </c>
      <c r="AP267" s="111">
        <v>11</v>
      </c>
    </row>
    <row r="268" spans="1:42" ht="15">
      <c r="A268" s="65" t="s">
        <v>351</v>
      </c>
      <c r="B268" s="65" t="s">
        <v>517</v>
      </c>
      <c r="C268" s="66" t="s">
        <v>2942</v>
      </c>
      <c r="D268" s="67">
        <v>3</v>
      </c>
      <c r="E268" s="68"/>
      <c r="F268" s="69">
        <v>40</v>
      </c>
      <c r="G268" s="66"/>
      <c r="H268" s="70"/>
      <c r="I268" s="71"/>
      <c r="J268" s="71"/>
      <c r="K268" s="35" t="s">
        <v>66</v>
      </c>
      <c r="L268" s="79">
        <v>268</v>
      </c>
      <c r="M268" s="79"/>
      <c r="N268" s="73"/>
      <c r="O268" s="81" t="s">
        <v>564</v>
      </c>
      <c r="P268" s="81" t="s">
        <v>566</v>
      </c>
      <c r="Q268" s="84" t="s">
        <v>829</v>
      </c>
      <c r="R268" s="81" t="s">
        <v>351</v>
      </c>
      <c r="S268" s="81" t="s">
        <v>864</v>
      </c>
      <c r="T268" s="86" t="str">
        <f>HYPERLINK("http://www.youtube.com/channel/UCT2t7sQp0Qyi9dxuckjOWAw")</f>
        <v>http://www.youtube.com/channel/UCT2t7sQp0Qyi9dxuckjOWAw</v>
      </c>
      <c r="U268" s="81" t="s">
        <v>1088</v>
      </c>
      <c r="V268" s="81" t="s">
        <v>1094</v>
      </c>
      <c r="W268" s="86" t="str">
        <f>HYPERLINK("https://www.youtube.com/watch?v=3s6qbWY07FI")</f>
        <v>https://www.youtube.com/watch?v=3s6qbWY07FI</v>
      </c>
      <c r="X268" s="81" t="s">
        <v>1183</v>
      </c>
      <c r="Y268" s="81">
        <v>0</v>
      </c>
      <c r="Z268" s="88">
        <v>44671.458506944444</v>
      </c>
      <c r="AA268" s="88">
        <v>44671.458506944444</v>
      </c>
      <c r="AB268" s="81" t="s">
        <v>1209</v>
      </c>
      <c r="AC268" s="81" t="s">
        <v>1234</v>
      </c>
      <c r="AD268" s="84" t="s">
        <v>1239</v>
      </c>
      <c r="AE268" s="82">
        <v>1</v>
      </c>
      <c r="AF268" s="83" t="str">
        <f>REPLACE(INDEX(GroupVertices[Group],MATCH(Edges[[#This Row],[Vertex 1]],GroupVertices[Vertex],0)),1,1,"")</f>
        <v>4</v>
      </c>
      <c r="AG268" s="83" t="str">
        <f>REPLACE(INDEX(GroupVertices[Group],MATCH(Edges[[#This Row],[Vertex 2]],GroupVertices[Vertex],0)),1,1,"")</f>
        <v>4</v>
      </c>
      <c r="AH268" s="111">
        <v>0</v>
      </c>
      <c r="AI268" s="112">
        <v>0</v>
      </c>
      <c r="AJ268" s="111">
        <v>0</v>
      </c>
      <c r="AK268" s="112">
        <v>0</v>
      </c>
      <c r="AL268" s="111">
        <v>0</v>
      </c>
      <c r="AM268" s="112">
        <v>0</v>
      </c>
      <c r="AN268" s="111">
        <v>19</v>
      </c>
      <c r="AO268" s="112">
        <v>100</v>
      </c>
      <c r="AP268" s="111">
        <v>19</v>
      </c>
    </row>
    <row r="269" spans="1:42" ht="15">
      <c r="A269" s="65" t="s">
        <v>517</v>
      </c>
      <c r="B269" s="65" t="s">
        <v>351</v>
      </c>
      <c r="C269" s="66" t="s">
        <v>2942</v>
      </c>
      <c r="D269" s="67">
        <v>3</v>
      </c>
      <c r="E269" s="68"/>
      <c r="F269" s="69">
        <v>40</v>
      </c>
      <c r="G269" s="66"/>
      <c r="H269" s="70"/>
      <c r="I269" s="71"/>
      <c r="J269" s="71"/>
      <c r="K269" s="35" t="s">
        <v>66</v>
      </c>
      <c r="L269" s="79">
        <v>269</v>
      </c>
      <c r="M269" s="79"/>
      <c r="N269" s="73"/>
      <c r="O269" s="81" t="s">
        <v>563</v>
      </c>
      <c r="P269" s="81" t="s">
        <v>325</v>
      </c>
      <c r="Q269" s="84" t="s">
        <v>830</v>
      </c>
      <c r="R269" s="81" t="s">
        <v>517</v>
      </c>
      <c r="S269" s="81" t="s">
        <v>1030</v>
      </c>
      <c r="T269" s="86" t="str">
        <f>HYPERLINK("http://www.youtube.com/channel/UCj-YNRE6g8gXzAaXu-kQ7Og")</f>
        <v>http://www.youtube.com/channel/UCj-YNRE6g8gXzAaXu-kQ7Og</v>
      </c>
      <c r="U269" s="81"/>
      <c r="V269" s="81" t="s">
        <v>1094</v>
      </c>
      <c r="W269" s="86" t="str">
        <f>HYPERLINK("https://www.youtube.com/watch?v=3s6qbWY07FI")</f>
        <v>https://www.youtube.com/watch?v=3s6qbWY07FI</v>
      </c>
      <c r="X269" s="81" t="s">
        <v>1183</v>
      </c>
      <c r="Y269" s="81">
        <v>1</v>
      </c>
      <c r="Z269" s="88">
        <v>44671.29605324074</v>
      </c>
      <c r="AA269" s="88">
        <v>44671.29605324074</v>
      </c>
      <c r="AB269" s="81"/>
      <c r="AC269" s="81"/>
      <c r="AD269" s="84" t="s">
        <v>1239</v>
      </c>
      <c r="AE269" s="82">
        <v>1</v>
      </c>
      <c r="AF269" s="83" t="str">
        <f>REPLACE(INDEX(GroupVertices[Group],MATCH(Edges[[#This Row],[Vertex 1]],GroupVertices[Vertex],0)),1,1,"")</f>
        <v>4</v>
      </c>
      <c r="AG269" s="83" t="str">
        <f>REPLACE(INDEX(GroupVertices[Group],MATCH(Edges[[#This Row],[Vertex 2]],GroupVertices[Vertex],0)),1,1,"")</f>
        <v>4</v>
      </c>
      <c r="AH269" s="111">
        <v>4</v>
      </c>
      <c r="AI269" s="112">
        <v>13.793103448275861</v>
      </c>
      <c r="AJ269" s="111">
        <v>1</v>
      </c>
      <c r="AK269" s="112">
        <v>3.4482758620689653</v>
      </c>
      <c r="AL269" s="111">
        <v>0</v>
      </c>
      <c r="AM269" s="112">
        <v>0</v>
      </c>
      <c r="AN269" s="111">
        <v>24</v>
      </c>
      <c r="AO269" s="112">
        <v>82.75862068965517</v>
      </c>
      <c r="AP269" s="111">
        <v>29</v>
      </c>
    </row>
    <row r="270" spans="1:42" ht="15">
      <c r="A270" s="65" t="s">
        <v>517</v>
      </c>
      <c r="B270" s="65" t="s">
        <v>561</v>
      </c>
      <c r="C270" s="66" t="s">
        <v>2945</v>
      </c>
      <c r="D270" s="67">
        <v>7.2</v>
      </c>
      <c r="E270" s="68"/>
      <c r="F270" s="69">
        <v>25</v>
      </c>
      <c r="G270" s="66"/>
      <c r="H270" s="70"/>
      <c r="I270" s="71"/>
      <c r="J270" s="71"/>
      <c r="K270" s="35" t="s">
        <v>65</v>
      </c>
      <c r="L270" s="79">
        <v>270</v>
      </c>
      <c r="M270" s="79"/>
      <c r="N270" s="73"/>
      <c r="O270" s="81" t="s">
        <v>563</v>
      </c>
      <c r="P270" s="81" t="s">
        <v>325</v>
      </c>
      <c r="Q270" s="84" t="s">
        <v>831</v>
      </c>
      <c r="R270" s="81" t="s">
        <v>517</v>
      </c>
      <c r="S270" s="81" t="s">
        <v>1030</v>
      </c>
      <c r="T270" s="86" t="str">
        <f>HYPERLINK("http://www.youtube.com/channel/UCj-YNRE6g8gXzAaXu-kQ7Og")</f>
        <v>http://www.youtube.com/channel/UCj-YNRE6g8gXzAaXu-kQ7Og</v>
      </c>
      <c r="U270" s="81"/>
      <c r="V270" s="81" t="s">
        <v>1117</v>
      </c>
      <c r="W270" s="86" t="str">
        <f>HYPERLINK("https://www.youtube.com/watch?v=owl9we4ldFI")</f>
        <v>https://www.youtube.com/watch?v=owl9we4ldFI</v>
      </c>
      <c r="X270" s="81" t="s">
        <v>1183</v>
      </c>
      <c r="Y270" s="81">
        <v>0</v>
      </c>
      <c r="Z270" s="88">
        <v>43663.34537037037</v>
      </c>
      <c r="AA270" s="88">
        <v>43663.34537037037</v>
      </c>
      <c r="AB270" s="81"/>
      <c r="AC270" s="81"/>
      <c r="AD270" s="84" t="s">
        <v>1239</v>
      </c>
      <c r="AE270" s="82">
        <v>4</v>
      </c>
      <c r="AF270" s="83" t="str">
        <f>REPLACE(INDEX(GroupVertices[Group],MATCH(Edges[[#This Row],[Vertex 1]],GroupVertices[Vertex],0)),1,1,"")</f>
        <v>4</v>
      </c>
      <c r="AG270" s="83" t="str">
        <f>REPLACE(INDEX(GroupVertices[Group],MATCH(Edges[[#This Row],[Vertex 2]],GroupVertices[Vertex],0)),1,1,"")</f>
        <v>3</v>
      </c>
      <c r="AH270" s="111">
        <v>1</v>
      </c>
      <c r="AI270" s="112">
        <v>5.555555555555555</v>
      </c>
      <c r="AJ270" s="111">
        <v>0</v>
      </c>
      <c r="AK270" s="112">
        <v>0</v>
      </c>
      <c r="AL270" s="111">
        <v>0</v>
      </c>
      <c r="AM270" s="112">
        <v>0</v>
      </c>
      <c r="AN270" s="111">
        <v>17</v>
      </c>
      <c r="AO270" s="112">
        <v>94.44444444444444</v>
      </c>
      <c r="AP270" s="111">
        <v>18</v>
      </c>
    </row>
    <row r="271" spans="1:42" ht="15">
      <c r="A271" s="65" t="s">
        <v>517</v>
      </c>
      <c r="B271" s="65" t="s">
        <v>561</v>
      </c>
      <c r="C271" s="66" t="s">
        <v>2945</v>
      </c>
      <c r="D271" s="67">
        <v>7.2</v>
      </c>
      <c r="E271" s="68"/>
      <c r="F271" s="69">
        <v>25</v>
      </c>
      <c r="G271" s="66"/>
      <c r="H271" s="70"/>
      <c r="I271" s="71"/>
      <c r="J271" s="71"/>
      <c r="K271" s="35" t="s">
        <v>65</v>
      </c>
      <c r="L271" s="79">
        <v>271</v>
      </c>
      <c r="M271" s="79"/>
      <c r="N271" s="73"/>
      <c r="O271" s="81" t="s">
        <v>563</v>
      </c>
      <c r="P271" s="81" t="s">
        <v>325</v>
      </c>
      <c r="Q271" s="84" t="s">
        <v>830</v>
      </c>
      <c r="R271" s="81" t="s">
        <v>517</v>
      </c>
      <c r="S271" s="81" t="s">
        <v>1030</v>
      </c>
      <c r="T271" s="86" t="str">
        <f>HYPERLINK("http://www.youtube.com/channel/UCj-YNRE6g8gXzAaXu-kQ7Og")</f>
        <v>http://www.youtube.com/channel/UCj-YNRE6g8gXzAaXu-kQ7Og</v>
      </c>
      <c r="U271" s="81"/>
      <c r="V271" s="81" t="s">
        <v>1117</v>
      </c>
      <c r="W271" s="86" t="str">
        <f>HYPERLINK("https://www.youtube.com/watch?v=owl9we4ldFI")</f>
        <v>https://www.youtube.com/watch?v=owl9we4ldFI</v>
      </c>
      <c r="X271" s="81" t="s">
        <v>1183</v>
      </c>
      <c r="Y271" s="81">
        <v>0</v>
      </c>
      <c r="Z271" s="88">
        <v>44670.90829861111</v>
      </c>
      <c r="AA271" s="88">
        <v>44670.90829861111</v>
      </c>
      <c r="AB271" s="81"/>
      <c r="AC271" s="81"/>
      <c r="AD271" s="84" t="s">
        <v>1239</v>
      </c>
      <c r="AE271" s="82">
        <v>4</v>
      </c>
      <c r="AF271" s="83" t="str">
        <f>REPLACE(INDEX(GroupVertices[Group],MATCH(Edges[[#This Row],[Vertex 1]],GroupVertices[Vertex],0)),1,1,"")</f>
        <v>4</v>
      </c>
      <c r="AG271" s="83" t="str">
        <f>REPLACE(INDEX(GroupVertices[Group],MATCH(Edges[[#This Row],[Vertex 2]],GroupVertices[Vertex],0)),1,1,"")</f>
        <v>3</v>
      </c>
      <c r="AH271" s="111">
        <v>4</v>
      </c>
      <c r="AI271" s="112">
        <v>13.793103448275861</v>
      </c>
      <c r="AJ271" s="111">
        <v>1</v>
      </c>
      <c r="AK271" s="112">
        <v>3.4482758620689653</v>
      </c>
      <c r="AL271" s="111">
        <v>0</v>
      </c>
      <c r="AM271" s="112">
        <v>0</v>
      </c>
      <c r="AN271" s="111">
        <v>24</v>
      </c>
      <c r="AO271" s="112">
        <v>82.75862068965517</v>
      </c>
      <c r="AP271" s="111">
        <v>29</v>
      </c>
    </row>
    <row r="272" spans="1:42" ht="15">
      <c r="A272" s="65" t="s">
        <v>517</v>
      </c>
      <c r="B272" s="65" t="s">
        <v>555</v>
      </c>
      <c r="C272" s="66" t="s">
        <v>2942</v>
      </c>
      <c r="D272" s="67">
        <v>3</v>
      </c>
      <c r="E272" s="68"/>
      <c r="F272" s="69">
        <v>40</v>
      </c>
      <c r="G272" s="66"/>
      <c r="H272" s="70"/>
      <c r="I272" s="71"/>
      <c r="J272" s="71"/>
      <c r="K272" s="35" t="s">
        <v>65</v>
      </c>
      <c r="L272" s="79">
        <v>272</v>
      </c>
      <c r="M272" s="79"/>
      <c r="N272" s="73"/>
      <c r="O272" s="81" t="s">
        <v>563</v>
      </c>
      <c r="P272" s="81" t="s">
        <v>325</v>
      </c>
      <c r="Q272" s="84" t="s">
        <v>830</v>
      </c>
      <c r="R272" s="81" t="s">
        <v>517</v>
      </c>
      <c r="S272" s="81" t="s">
        <v>1030</v>
      </c>
      <c r="T272" s="86" t="str">
        <f>HYPERLINK("http://www.youtube.com/channel/UCj-YNRE6g8gXzAaXu-kQ7Og")</f>
        <v>http://www.youtube.com/channel/UCj-YNRE6g8gXzAaXu-kQ7Og</v>
      </c>
      <c r="U272" s="81"/>
      <c r="V272" s="81" t="s">
        <v>1119</v>
      </c>
      <c r="W272" s="86" t="str">
        <f>HYPERLINK("https://www.youtube.com/watch?v=leNjC1CQiow")</f>
        <v>https://www.youtube.com/watch?v=leNjC1CQiow</v>
      </c>
      <c r="X272" s="81" t="s">
        <v>1183</v>
      </c>
      <c r="Y272" s="81">
        <v>0</v>
      </c>
      <c r="Z272" s="88">
        <v>44672.14944444445</v>
      </c>
      <c r="AA272" s="88">
        <v>44672.14944444445</v>
      </c>
      <c r="AB272" s="81"/>
      <c r="AC272" s="81"/>
      <c r="AD272" s="84" t="s">
        <v>1239</v>
      </c>
      <c r="AE272" s="82">
        <v>1</v>
      </c>
      <c r="AF272" s="83" t="str">
        <f>REPLACE(INDEX(GroupVertices[Group],MATCH(Edges[[#This Row],[Vertex 1]],GroupVertices[Vertex],0)),1,1,"")</f>
        <v>4</v>
      </c>
      <c r="AG272" s="83" t="str">
        <f>REPLACE(INDEX(GroupVertices[Group],MATCH(Edges[[#This Row],[Vertex 2]],GroupVertices[Vertex],0)),1,1,"")</f>
        <v>4</v>
      </c>
      <c r="AH272" s="111">
        <v>4</v>
      </c>
      <c r="AI272" s="112">
        <v>13.793103448275861</v>
      </c>
      <c r="AJ272" s="111">
        <v>1</v>
      </c>
      <c r="AK272" s="112">
        <v>3.4482758620689653</v>
      </c>
      <c r="AL272" s="111">
        <v>0</v>
      </c>
      <c r="AM272" s="112">
        <v>0</v>
      </c>
      <c r="AN272" s="111">
        <v>24</v>
      </c>
      <c r="AO272" s="112">
        <v>82.75862068965517</v>
      </c>
      <c r="AP272" s="111">
        <v>29</v>
      </c>
    </row>
    <row r="273" spans="1:42" ht="15">
      <c r="A273" s="65" t="s">
        <v>517</v>
      </c>
      <c r="B273" s="65" t="s">
        <v>558</v>
      </c>
      <c r="C273" s="66" t="s">
        <v>2942</v>
      </c>
      <c r="D273" s="67">
        <v>3</v>
      </c>
      <c r="E273" s="68"/>
      <c r="F273" s="69">
        <v>40</v>
      </c>
      <c r="G273" s="66"/>
      <c r="H273" s="70"/>
      <c r="I273" s="71"/>
      <c r="J273" s="71"/>
      <c r="K273" s="35" t="s">
        <v>65</v>
      </c>
      <c r="L273" s="79">
        <v>273</v>
      </c>
      <c r="M273" s="79"/>
      <c r="N273" s="73"/>
      <c r="O273" s="81" t="s">
        <v>563</v>
      </c>
      <c r="P273" s="81" t="s">
        <v>325</v>
      </c>
      <c r="Q273" s="84" t="s">
        <v>830</v>
      </c>
      <c r="R273" s="81" t="s">
        <v>517</v>
      </c>
      <c r="S273" s="81" t="s">
        <v>1030</v>
      </c>
      <c r="T273" s="86" t="str">
        <f>HYPERLINK("http://www.youtube.com/channel/UCj-YNRE6g8gXzAaXu-kQ7Og")</f>
        <v>http://www.youtube.com/channel/UCj-YNRE6g8gXzAaXu-kQ7Og</v>
      </c>
      <c r="U273" s="81"/>
      <c r="V273" s="81" t="s">
        <v>1131</v>
      </c>
      <c r="W273" s="86" t="str">
        <f>HYPERLINK("https://www.youtube.com/watch?v=3x-TXaTF3-Y")</f>
        <v>https://www.youtube.com/watch?v=3x-TXaTF3-Y</v>
      </c>
      <c r="X273" s="81" t="s">
        <v>1183</v>
      </c>
      <c r="Y273" s="81">
        <v>0</v>
      </c>
      <c r="Z273" s="88">
        <v>44671.30048611111</v>
      </c>
      <c r="AA273" s="88">
        <v>44671.30048611111</v>
      </c>
      <c r="AB273" s="81"/>
      <c r="AC273" s="81"/>
      <c r="AD273" s="84" t="s">
        <v>1239</v>
      </c>
      <c r="AE273" s="82">
        <v>1</v>
      </c>
      <c r="AF273" s="83" t="str">
        <f>REPLACE(INDEX(GroupVertices[Group],MATCH(Edges[[#This Row],[Vertex 1]],GroupVertices[Vertex],0)),1,1,"")</f>
        <v>4</v>
      </c>
      <c r="AG273" s="83" t="str">
        <f>REPLACE(INDEX(GroupVertices[Group],MATCH(Edges[[#This Row],[Vertex 2]],GroupVertices[Vertex],0)),1,1,"")</f>
        <v>4</v>
      </c>
      <c r="AH273" s="111">
        <v>4</v>
      </c>
      <c r="AI273" s="112">
        <v>13.793103448275861</v>
      </c>
      <c r="AJ273" s="111">
        <v>1</v>
      </c>
      <c r="AK273" s="112">
        <v>3.4482758620689653</v>
      </c>
      <c r="AL273" s="111">
        <v>0</v>
      </c>
      <c r="AM273" s="112">
        <v>0</v>
      </c>
      <c r="AN273" s="111">
        <v>24</v>
      </c>
      <c r="AO273" s="112">
        <v>82.75862068965517</v>
      </c>
      <c r="AP273" s="111">
        <v>29</v>
      </c>
    </row>
    <row r="274" spans="1:42" ht="15">
      <c r="A274" s="65" t="s">
        <v>517</v>
      </c>
      <c r="B274" s="65" t="s">
        <v>468</v>
      </c>
      <c r="C274" s="66" t="s">
        <v>2942</v>
      </c>
      <c r="D274" s="67">
        <v>3</v>
      </c>
      <c r="E274" s="68"/>
      <c r="F274" s="69">
        <v>40</v>
      </c>
      <c r="G274" s="66"/>
      <c r="H274" s="70"/>
      <c r="I274" s="71"/>
      <c r="J274" s="71"/>
      <c r="K274" s="35" t="s">
        <v>65</v>
      </c>
      <c r="L274" s="79">
        <v>274</v>
      </c>
      <c r="M274" s="79"/>
      <c r="N274" s="73"/>
      <c r="O274" s="81" t="s">
        <v>563</v>
      </c>
      <c r="P274" s="81" t="s">
        <v>325</v>
      </c>
      <c r="Q274" s="84" t="s">
        <v>830</v>
      </c>
      <c r="R274" s="81" t="s">
        <v>517</v>
      </c>
      <c r="S274" s="81" t="s">
        <v>1030</v>
      </c>
      <c r="T274" s="86" t="str">
        <f>HYPERLINK("http://www.youtube.com/channel/UCj-YNRE6g8gXzAaXu-kQ7Og")</f>
        <v>http://www.youtube.com/channel/UCj-YNRE6g8gXzAaXu-kQ7Og</v>
      </c>
      <c r="U274" s="81"/>
      <c r="V274" s="81" t="s">
        <v>1125</v>
      </c>
      <c r="W274" s="86" t="str">
        <f>HYPERLINK("https://www.youtube.com/watch?v=THdrju-UWjo")</f>
        <v>https://www.youtube.com/watch?v=THdrju-UWjo</v>
      </c>
      <c r="X274" s="81" t="s">
        <v>1183</v>
      </c>
      <c r="Y274" s="81">
        <v>1</v>
      </c>
      <c r="Z274" s="88">
        <v>44671.2921412037</v>
      </c>
      <c r="AA274" s="88">
        <v>44671.2921412037</v>
      </c>
      <c r="AB274" s="81"/>
      <c r="AC274" s="81"/>
      <c r="AD274" s="84" t="s">
        <v>1239</v>
      </c>
      <c r="AE274" s="82">
        <v>1</v>
      </c>
      <c r="AF274" s="83" t="str">
        <f>REPLACE(INDEX(GroupVertices[Group],MATCH(Edges[[#This Row],[Vertex 1]],GroupVertices[Vertex],0)),1,1,"")</f>
        <v>4</v>
      </c>
      <c r="AG274" s="83" t="str">
        <f>REPLACE(INDEX(GroupVertices[Group],MATCH(Edges[[#This Row],[Vertex 2]],GroupVertices[Vertex],0)),1,1,"")</f>
        <v>4</v>
      </c>
      <c r="AH274" s="111">
        <v>4</v>
      </c>
      <c r="AI274" s="112">
        <v>13.793103448275861</v>
      </c>
      <c r="AJ274" s="111">
        <v>1</v>
      </c>
      <c r="AK274" s="112">
        <v>3.4482758620689653</v>
      </c>
      <c r="AL274" s="111">
        <v>0</v>
      </c>
      <c r="AM274" s="112">
        <v>0</v>
      </c>
      <c r="AN274" s="111">
        <v>24</v>
      </c>
      <c r="AO274" s="112">
        <v>82.75862068965517</v>
      </c>
      <c r="AP274" s="111">
        <v>29</v>
      </c>
    </row>
    <row r="275" spans="1:42" ht="15">
      <c r="A275" s="65" t="s">
        <v>517</v>
      </c>
      <c r="B275" s="65" t="s">
        <v>560</v>
      </c>
      <c r="C275" s="66" t="s">
        <v>2943</v>
      </c>
      <c r="D275" s="67">
        <v>4.4</v>
      </c>
      <c r="E275" s="68"/>
      <c r="F275" s="69">
        <v>35</v>
      </c>
      <c r="G275" s="66"/>
      <c r="H275" s="70"/>
      <c r="I275" s="71"/>
      <c r="J275" s="71"/>
      <c r="K275" s="35" t="s">
        <v>65</v>
      </c>
      <c r="L275" s="79">
        <v>275</v>
      </c>
      <c r="M275" s="79"/>
      <c r="N275" s="73"/>
      <c r="O275" s="81" t="s">
        <v>563</v>
      </c>
      <c r="P275" s="81" t="s">
        <v>325</v>
      </c>
      <c r="Q275" s="84" t="s">
        <v>832</v>
      </c>
      <c r="R275" s="81" t="s">
        <v>517</v>
      </c>
      <c r="S275" s="81" t="s">
        <v>1030</v>
      </c>
      <c r="T275" s="86" t="str">
        <f>HYPERLINK("http://www.youtube.com/channel/UCj-YNRE6g8gXzAaXu-kQ7Og")</f>
        <v>http://www.youtube.com/channel/UCj-YNRE6g8gXzAaXu-kQ7Og</v>
      </c>
      <c r="U275" s="81"/>
      <c r="V275" s="81" t="s">
        <v>1132</v>
      </c>
      <c r="W275" s="86" t="str">
        <f>HYPERLINK("https://www.youtube.com/watch?v=8lDndBPEDj4")</f>
        <v>https://www.youtube.com/watch?v=8lDndBPEDj4</v>
      </c>
      <c r="X275" s="81" t="s">
        <v>1183</v>
      </c>
      <c r="Y275" s="81">
        <v>0</v>
      </c>
      <c r="Z275" s="88">
        <v>44642.9275462963</v>
      </c>
      <c r="AA275" s="88">
        <v>44642.9275462963</v>
      </c>
      <c r="AB275" s="81"/>
      <c r="AC275" s="81"/>
      <c r="AD275" s="84" t="s">
        <v>1239</v>
      </c>
      <c r="AE275" s="82">
        <v>2</v>
      </c>
      <c r="AF275" s="83" t="str">
        <f>REPLACE(INDEX(GroupVertices[Group],MATCH(Edges[[#This Row],[Vertex 1]],GroupVertices[Vertex],0)),1,1,"")</f>
        <v>4</v>
      </c>
      <c r="AG275" s="83" t="str">
        <f>REPLACE(INDEX(GroupVertices[Group],MATCH(Edges[[#This Row],[Vertex 2]],GroupVertices[Vertex],0)),1,1,"")</f>
        <v>4</v>
      </c>
      <c r="AH275" s="111">
        <v>4</v>
      </c>
      <c r="AI275" s="112">
        <v>14.285714285714286</v>
      </c>
      <c r="AJ275" s="111">
        <v>0</v>
      </c>
      <c r="AK275" s="112">
        <v>0</v>
      </c>
      <c r="AL275" s="111">
        <v>0</v>
      </c>
      <c r="AM275" s="112">
        <v>0</v>
      </c>
      <c r="AN275" s="111">
        <v>24</v>
      </c>
      <c r="AO275" s="112">
        <v>85.71428571428571</v>
      </c>
      <c r="AP275" s="111">
        <v>28</v>
      </c>
    </row>
    <row r="276" spans="1:42" ht="15">
      <c r="A276" s="65" t="s">
        <v>517</v>
      </c>
      <c r="B276" s="65" t="s">
        <v>560</v>
      </c>
      <c r="C276" s="66" t="s">
        <v>2943</v>
      </c>
      <c r="D276" s="67">
        <v>4.4</v>
      </c>
      <c r="E276" s="68"/>
      <c r="F276" s="69">
        <v>35</v>
      </c>
      <c r="G276" s="66"/>
      <c r="H276" s="70"/>
      <c r="I276" s="71"/>
      <c r="J276" s="71"/>
      <c r="K276" s="35" t="s">
        <v>65</v>
      </c>
      <c r="L276" s="79">
        <v>276</v>
      </c>
      <c r="M276" s="79"/>
      <c r="N276" s="73"/>
      <c r="O276" s="81" t="s">
        <v>563</v>
      </c>
      <c r="P276" s="81" t="s">
        <v>325</v>
      </c>
      <c r="Q276" s="84" t="s">
        <v>830</v>
      </c>
      <c r="R276" s="81" t="s">
        <v>517</v>
      </c>
      <c r="S276" s="81" t="s">
        <v>1030</v>
      </c>
      <c r="T276" s="86" t="str">
        <f>HYPERLINK("http://www.youtube.com/channel/UCj-YNRE6g8gXzAaXu-kQ7Og")</f>
        <v>http://www.youtube.com/channel/UCj-YNRE6g8gXzAaXu-kQ7Og</v>
      </c>
      <c r="U276" s="81"/>
      <c r="V276" s="81" t="s">
        <v>1132</v>
      </c>
      <c r="W276" s="86" t="str">
        <f>HYPERLINK("https://www.youtube.com/watch?v=8lDndBPEDj4")</f>
        <v>https://www.youtube.com/watch?v=8lDndBPEDj4</v>
      </c>
      <c r="X276" s="81" t="s">
        <v>1183</v>
      </c>
      <c r="Y276" s="81">
        <v>0</v>
      </c>
      <c r="Z276" s="88">
        <v>44671.77266203704</v>
      </c>
      <c r="AA276" s="88">
        <v>44671.77266203704</v>
      </c>
      <c r="AB276" s="81"/>
      <c r="AC276" s="81"/>
      <c r="AD276" s="84" t="s">
        <v>1239</v>
      </c>
      <c r="AE276" s="82">
        <v>2</v>
      </c>
      <c r="AF276" s="83" t="str">
        <f>REPLACE(INDEX(GroupVertices[Group],MATCH(Edges[[#This Row],[Vertex 1]],GroupVertices[Vertex],0)),1,1,"")</f>
        <v>4</v>
      </c>
      <c r="AG276" s="83" t="str">
        <f>REPLACE(INDEX(GroupVertices[Group],MATCH(Edges[[#This Row],[Vertex 2]],GroupVertices[Vertex],0)),1,1,"")</f>
        <v>4</v>
      </c>
      <c r="AH276" s="111">
        <v>4</v>
      </c>
      <c r="AI276" s="112">
        <v>13.793103448275861</v>
      </c>
      <c r="AJ276" s="111">
        <v>1</v>
      </c>
      <c r="AK276" s="112">
        <v>3.4482758620689653</v>
      </c>
      <c r="AL276" s="111">
        <v>0</v>
      </c>
      <c r="AM276" s="112">
        <v>0</v>
      </c>
      <c r="AN276" s="111">
        <v>24</v>
      </c>
      <c r="AO276" s="112">
        <v>82.75862068965517</v>
      </c>
      <c r="AP276" s="111">
        <v>29</v>
      </c>
    </row>
    <row r="277" spans="1:42" ht="15">
      <c r="A277" s="65" t="s">
        <v>517</v>
      </c>
      <c r="B277" s="65" t="s">
        <v>561</v>
      </c>
      <c r="C277" s="66" t="s">
        <v>2945</v>
      </c>
      <c r="D277" s="67">
        <v>7.2</v>
      </c>
      <c r="E277" s="68"/>
      <c r="F277" s="69">
        <v>25</v>
      </c>
      <c r="G277" s="66"/>
      <c r="H277" s="70"/>
      <c r="I277" s="71"/>
      <c r="J277" s="71"/>
      <c r="K277" s="35" t="s">
        <v>65</v>
      </c>
      <c r="L277" s="79">
        <v>277</v>
      </c>
      <c r="M277" s="79"/>
      <c r="N277" s="73"/>
      <c r="O277" s="81" t="s">
        <v>563</v>
      </c>
      <c r="P277" s="81" t="s">
        <v>325</v>
      </c>
      <c r="Q277" s="84" t="s">
        <v>831</v>
      </c>
      <c r="R277" s="81" t="s">
        <v>517</v>
      </c>
      <c r="S277" s="81" t="s">
        <v>1030</v>
      </c>
      <c r="T277" s="86" t="str">
        <f>HYPERLINK("http://www.youtube.com/channel/UCj-YNRE6g8gXzAaXu-kQ7Og")</f>
        <v>http://www.youtube.com/channel/UCj-YNRE6g8gXzAaXu-kQ7Og</v>
      </c>
      <c r="U277" s="81"/>
      <c r="V277" s="81" t="s">
        <v>1130</v>
      </c>
      <c r="W277" s="86" t="str">
        <f>HYPERLINK("https://www.youtube.com/watch?v=pwsImFyc0lE")</f>
        <v>https://www.youtube.com/watch?v=pwsImFyc0lE</v>
      </c>
      <c r="X277" s="81" t="s">
        <v>1183</v>
      </c>
      <c r="Y277" s="81">
        <v>0</v>
      </c>
      <c r="Z277" s="88">
        <v>43663.345659722225</v>
      </c>
      <c r="AA277" s="88">
        <v>43663.345659722225</v>
      </c>
      <c r="AB277" s="81"/>
      <c r="AC277" s="81"/>
      <c r="AD277" s="84" t="s">
        <v>1239</v>
      </c>
      <c r="AE277" s="82">
        <v>4</v>
      </c>
      <c r="AF277" s="83" t="str">
        <f>REPLACE(INDEX(GroupVertices[Group],MATCH(Edges[[#This Row],[Vertex 1]],GroupVertices[Vertex],0)),1,1,"")</f>
        <v>4</v>
      </c>
      <c r="AG277" s="83" t="str">
        <f>REPLACE(INDEX(GroupVertices[Group],MATCH(Edges[[#This Row],[Vertex 2]],GroupVertices[Vertex],0)),1,1,"")</f>
        <v>3</v>
      </c>
      <c r="AH277" s="111">
        <v>1</v>
      </c>
      <c r="AI277" s="112">
        <v>5.555555555555555</v>
      </c>
      <c r="AJ277" s="111">
        <v>0</v>
      </c>
      <c r="AK277" s="112">
        <v>0</v>
      </c>
      <c r="AL277" s="111">
        <v>0</v>
      </c>
      <c r="AM277" s="112">
        <v>0</v>
      </c>
      <c r="AN277" s="111">
        <v>17</v>
      </c>
      <c r="AO277" s="112">
        <v>94.44444444444444</v>
      </c>
      <c r="AP277" s="111">
        <v>18</v>
      </c>
    </row>
    <row r="278" spans="1:42" ht="15">
      <c r="A278" s="65" t="s">
        <v>517</v>
      </c>
      <c r="B278" s="65" t="s">
        <v>561</v>
      </c>
      <c r="C278" s="66" t="s">
        <v>2945</v>
      </c>
      <c r="D278" s="67">
        <v>7.2</v>
      </c>
      <c r="E278" s="68"/>
      <c r="F278" s="69">
        <v>25</v>
      </c>
      <c r="G278" s="66"/>
      <c r="H278" s="70"/>
      <c r="I278" s="71"/>
      <c r="J278" s="71"/>
      <c r="K278" s="35" t="s">
        <v>65</v>
      </c>
      <c r="L278" s="79">
        <v>278</v>
      </c>
      <c r="M278" s="79"/>
      <c r="N278" s="73"/>
      <c r="O278" s="81" t="s">
        <v>563</v>
      </c>
      <c r="P278" s="81" t="s">
        <v>325</v>
      </c>
      <c r="Q278" s="84" t="s">
        <v>831</v>
      </c>
      <c r="R278" s="81" t="s">
        <v>517</v>
      </c>
      <c r="S278" s="81" t="s">
        <v>1030</v>
      </c>
      <c r="T278" s="86" t="str">
        <f>HYPERLINK("http://www.youtube.com/channel/UCj-YNRE6g8gXzAaXu-kQ7Og")</f>
        <v>http://www.youtube.com/channel/UCj-YNRE6g8gXzAaXu-kQ7Og</v>
      </c>
      <c r="U278" s="81"/>
      <c r="V278" s="81" t="s">
        <v>1130</v>
      </c>
      <c r="W278" s="86" t="str">
        <f>HYPERLINK("https://www.youtube.com/watch?v=pwsImFyc0lE")</f>
        <v>https://www.youtube.com/watch?v=pwsImFyc0lE</v>
      </c>
      <c r="X278" s="81" t="s">
        <v>1183</v>
      </c>
      <c r="Y278" s="81">
        <v>2</v>
      </c>
      <c r="Z278" s="88">
        <v>43663.345659722225</v>
      </c>
      <c r="AA278" s="88">
        <v>43663.345659722225</v>
      </c>
      <c r="AB278" s="81"/>
      <c r="AC278" s="81"/>
      <c r="AD278" s="84" t="s">
        <v>1239</v>
      </c>
      <c r="AE278" s="82">
        <v>4</v>
      </c>
      <c r="AF278" s="83" t="str">
        <f>REPLACE(INDEX(GroupVertices[Group],MATCH(Edges[[#This Row],[Vertex 1]],GroupVertices[Vertex],0)),1,1,"")</f>
        <v>4</v>
      </c>
      <c r="AG278" s="83" t="str">
        <f>REPLACE(INDEX(GroupVertices[Group],MATCH(Edges[[#This Row],[Vertex 2]],GroupVertices[Vertex],0)),1,1,"")</f>
        <v>3</v>
      </c>
      <c r="AH278" s="111">
        <v>1</v>
      </c>
      <c r="AI278" s="112">
        <v>5.555555555555555</v>
      </c>
      <c r="AJ278" s="111">
        <v>0</v>
      </c>
      <c r="AK278" s="112">
        <v>0</v>
      </c>
      <c r="AL278" s="111">
        <v>0</v>
      </c>
      <c r="AM278" s="112">
        <v>0</v>
      </c>
      <c r="AN278" s="111">
        <v>17</v>
      </c>
      <c r="AO278" s="112">
        <v>94.44444444444444</v>
      </c>
      <c r="AP278" s="111">
        <v>18</v>
      </c>
    </row>
    <row r="279" spans="1:42" ht="15">
      <c r="A279" s="65" t="s">
        <v>518</v>
      </c>
      <c r="B279" s="65" t="s">
        <v>561</v>
      </c>
      <c r="C279" s="66" t="s">
        <v>2942</v>
      </c>
      <c r="D279" s="67">
        <v>3</v>
      </c>
      <c r="E279" s="68"/>
      <c r="F279" s="69">
        <v>40</v>
      </c>
      <c r="G279" s="66"/>
      <c r="H279" s="70"/>
      <c r="I279" s="71"/>
      <c r="J279" s="71"/>
      <c r="K279" s="35" t="s">
        <v>65</v>
      </c>
      <c r="L279" s="79">
        <v>279</v>
      </c>
      <c r="M279" s="79"/>
      <c r="N279" s="73"/>
      <c r="O279" s="81" t="s">
        <v>563</v>
      </c>
      <c r="P279" s="81" t="s">
        <v>325</v>
      </c>
      <c r="Q279" s="84" t="s">
        <v>833</v>
      </c>
      <c r="R279" s="81" t="s">
        <v>518</v>
      </c>
      <c r="S279" s="81" t="s">
        <v>1031</v>
      </c>
      <c r="T279" s="86" t="str">
        <f>HYPERLINK("http://www.youtube.com/channel/UCmbTaq_33tRrVi_b7V2zzwg")</f>
        <v>http://www.youtube.com/channel/UCmbTaq_33tRrVi_b7V2zzwg</v>
      </c>
      <c r="U279" s="81"/>
      <c r="V279" s="81" t="s">
        <v>1130</v>
      </c>
      <c r="W279" s="86" t="str">
        <f>HYPERLINK("https://www.youtube.com/watch?v=pwsImFyc0lE")</f>
        <v>https://www.youtube.com/watch?v=pwsImFyc0lE</v>
      </c>
      <c r="X279" s="81" t="s">
        <v>1183</v>
      </c>
      <c r="Y279" s="81">
        <v>1</v>
      </c>
      <c r="Z279" s="88">
        <v>43678.98949074074</v>
      </c>
      <c r="AA279" s="88">
        <v>43678.99037037037</v>
      </c>
      <c r="AB279" s="81"/>
      <c r="AC279" s="81"/>
      <c r="AD279" s="84" t="s">
        <v>1239</v>
      </c>
      <c r="AE279" s="82">
        <v>1</v>
      </c>
      <c r="AF279" s="83" t="str">
        <f>REPLACE(INDEX(GroupVertices[Group],MATCH(Edges[[#This Row],[Vertex 1]],GroupVertices[Vertex],0)),1,1,"")</f>
        <v>3</v>
      </c>
      <c r="AG279" s="83" t="str">
        <f>REPLACE(INDEX(GroupVertices[Group],MATCH(Edges[[#This Row],[Vertex 2]],GroupVertices[Vertex],0)),1,1,"")</f>
        <v>3</v>
      </c>
      <c r="AH279" s="111">
        <v>2</v>
      </c>
      <c r="AI279" s="112">
        <v>25</v>
      </c>
      <c r="AJ279" s="111">
        <v>0</v>
      </c>
      <c r="AK279" s="112">
        <v>0</v>
      </c>
      <c r="AL279" s="111">
        <v>0</v>
      </c>
      <c r="AM279" s="112">
        <v>0</v>
      </c>
      <c r="AN279" s="111">
        <v>6</v>
      </c>
      <c r="AO279" s="112">
        <v>75</v>
      </c>
      <c r="AP279" s="111">
        <v>8</v>
      </c>
    </row>
    <row r="280" spans="1:42" ht="15">
      <c r="A280" s="65" t="s">
        <v>519</v>
      </c>
      <c r="B280" s="65" t="s">
        <v>519</v>
      </c>
      <c r="C280" s="66" t="s">
        <v>2942</v>
      </c>
      <c r="D280" s="67">
        <v>3</v>
      </c>
      <c r="E280" s="68"/>
      <c r="F280" s="69">
        <v>40</v>
      </c>
      <c r="G280" s="66"/>
      <c r="H280" s="70"/>
      <c r="I280" s="71"/>
      <c r="J280" s="71"/>
      <c r="K280" s="35" t="s">
        <v>65</v>
      </c>
      <c r="L280" s="79">
        <v>280</v>
      </c>
      <c r="M280" s="79"/>
      <c r="N280" s="73"/>
      <c r="O280" s="81" t="s">
        <v>565</v>
      </c>
      <c r="P280" s="81"/>
      <c r="Q280" s="81"/>
      <c r="R280" s="81"/>
      <c r="S280" s="81"/>
      <c r="T280" s="81"/>
      <c r="U280" s="81"/>
      <c r="V280" s="81" t="s">
        <v>1133</v>
      </c>
      <c r="W280" s="86" t="str">
        <f>HYPERLINK("https://www.youtube.com/watch?v=qYS-obITp8U")</f>
        <v>https://www.youtube.com/watch?v=qYS-obITp8U</v>
      </c>
      <c r="X280" s="81"/>
      <c r="Y280" s="81"/>
      <c r="Z280" s="88">
        <v>43889.64501157407</v>
      </c>
      <c r="AA280" s="81"/>
      <c r="AB280" s="81"/>
      <c r="AC280" s="81"/>
      <c r="AD280" s="81"/>
      <c r="AE280">
        <v>1</v>
      </c>
      <c r="AF280" s="80" t="str">
        <f>REPLACE(INDEX(GroupVertices[Group],MATCH(Edges[[#This Row],[Vertex 1]],GroupVertices[Vertex],0)),1,1,"")</f>
        <v>2</v>
      </c>
      <c r="AG280" s="80" t="str">
        <f>REPLACE(INDEX(GroupVertices[Group],MATCH(Edges[[#This Row],[Vertex 2]],GroupVertices[Vertex],0)),1,1,"")</f>
        <v>2</v>
      </c>
      <c r="AH280" s="49"/>
      <c r="AI280" s="50"/>
      <c r="AJ280" s="49"/>
      <c r="AK280" s="50"/>
      <c r="AL280" s="49"/>
      <c r="AM280" s="50"/>
      <c r="AN280" s="49"/>
      <c r="AO280" s="50"/>
      <c r="AP280" s="49"/>
    </row>
    <row r="281" spans="1:42" ht="15">
      <c r="A281" s="65" t="s">
        <v>520</v>
      </c>
      <c r="B281" s="65" t="s">
        <v>520</v>
      </c>
      <c r="C281" s="66" t="s">
        <v>2942</v>
      </c>
      <c r="D281" s="67">
        <v>3</v>
      </c>
      <c r="E281" s="68"/>
      <c r="F281" s="69">
        <v>40</v>
      </c>
      <c r="G281" s="66"/>
      <c r="H281" s="70"/>
      <c r="I281" s="71"/>
      <c r="J281" s="71"/>
      <c r="K281" s="35" t="s">
        <v>65</v>
      </c>
      <c r="L281" s="79">
        <v>281</v>
      </c>
      <c r="M281" s="79"/>
      <c r="N281" s="73"/>
      <c r="O281" s="81" t="s">
        <v>565</v>
      </c>
      <c r="P281" s="81"/>
      <c r="Q281" s="81"/>
      <c r="R281" s="81"/>
      <c r="S281" s="81"/>
      <c r="T281" s="81"/>
      <c r="U281" s="81"/>
      <c r="V281" s="81" t="s">
        <v>1134</v>
      </c>
      <c r="W281" s="86" t="str">
        <f>HYPERLINK("https://www.youtube.com/watch?v=AAk39e00SlY")</f>
        <v>https://www.youtube.com/watch?v=AAk39e00SlY</v>
      </c>
      <c r="X281" s="81"/>
      <c r="Y281" s="81"/>
      <c r="Z281" s="88">
        <v>40401.89494212963</v>
      </c>
      <c r="AA281" s="81"/>
      <c r="AB281" s="81"/>
      <c r="AC281" s="81"/>
      <c r="AD281" s="81"/>
      <c r="AE281">
        <v>1</v>
      </c>
      <c r="AF281" s="80" t="str">
        <f>REPLACE(INDEX(GroupVertices[Group],MATCH(Edges[[#This Row],[Vertex 1]],GroupVertices[Vertex],0)),1,1,"")</f>
        <v>2</v>
      </c>
      <c r="AG281" s="80" t="str">
        <f>REPLACE(INDEX(GroupVertices[Group],MATCH(Edges[[#This Row],[Vertex 2]],GroupVertices[Vertex],0)),1,1,"")</f>
        <v>2</v>
      </c>
      <c r="AH281" s="49"/>
      <c r="AI281" s="50"/>
      <c r="AJ281" s="49"/>
      <c r="AK281" s="50"/>
      <c r="AL281" s="49"/>
      <c r="AM281" s="50"/>
      <c r="AN281" s="49"/>
      <c r="AO281" s="50"/>
      <c r="AP281" s="49"/>
    </row>
    <row r="282" spans="1:42" ht="15">
      <c r="A282" s="65" t="s">
        <v>521</v>
      </c>
      <c r="B282" s="65" t="s">
        <v>521</v>
      </c>
      <c r="C282" s="66" t="s">
        <v>2942</v>
      </c>
      <c r="D282" s="67">
        <v>3</v>
      </c>
      <c r="E282" s="68"/>
      <c r="F282" s="69">
        <v>40</v>
      </c>
      <c r="G282" s="66"/>
      <c r="H282" s="70"/>
      <c r="I282" s="71"/>
      <c r="J282" s="71"/>
      <c r="K282" s="35" t="s">
        <v>65</v>
      </c>
      <c r="L282" s="79">
        <v>282</v>
      </c>
      <c r="M282" s="79"/>
      <c r="N282" s="73"/>
      <c r="O282" s="81" t="s">
        <v>565</v>
      </c>
      <c r="P282" s="81"/>
      <c r="Q282" s="81"/>
      <c r="R282" s="81"/>
      <c r="S282" s="81"/>
      <c r="T282" s="81"/>
      <c r="U282" s="81"/>
      <c r="V282" s="81" t="s">
        <v>1135</v>
      </c>
      <c r="W282" s="86" t="str">
        <f>HYPERLINK("https://www.youtube.com/watch?v=vi01cIzeiqw")</f>
        <v>https://www.youtube.com/watch?v=vi01cIzeiqw</v>
      </c>
      <c r="X282" s="81"/>
      <c r="Y282" s="81"/>
      <c r="Z282" s="88">
        <v>42418.171319444446</v>
      </c>
      <c r="AA282" s="81"/>
      <c r="AB282" s="81"/>
      <c r="AC282" s="81"/>
      <c r="AD282" s="81"/>
      <c r="AE282">
        <v>1</v>
      </c>
      <c r="AF282" s="80" t="str">
        <f>REPLACE(INDEX(GroupVertices[Group],MATCH(Edges[[#This Row],[Vertex 1]],GroupVertices[Vertex],0)),1,1,"")</f>
        <v>25</v>
      </c>
      <c r="AG282" s="80" t="str">
        <f>REPLACE(INDEX(GroupVertices[Group],MATCH(Edges[[#This Row],[Vertex 2]],GroupVertices[Vertex],0)),1,1,"")</f>
        <v>25</v>
      </c>
      <c r="AH282" s="49"/>
      <c r="AI282" s="50"/>
      <c r="AJ282" s="49"/>
      <c r="AK282" s="50"/>
      <c r="AL282" s="49"/>
      <c r="AM282" s="50"/>
      <c r="AN282" s="49"/>
      <c r="AO282" s="50"/>
      <c r="AP282" s="49"/>
    </row>
    <row r="283" spans="1:42" ht="15">
      <c r="A283" s="65" t="s">
        <v>522</v>
      </c>
      <c r="B283" s="65" t="s">
        <v>522</v>
      </c>
      <c r="C283" s="66" t="s">
        <v>2942</v>
      </c>
      <c r="D283" s="67">
        <v>3</v>
      </c>
      <c r="E283" s="68"/>
      <c r="F283" s="69">
        <v>40</v>
      </c>
      <c r="G283" s="66"/>
      <c r="H283" s="70"/>
      <c r="I283" s="71"/>
      <c r="J283" s="71"/>
      <c r="K283" s="35" t="s">
        <v>65</v>
      </c>
      <c r="L283" s="79">
        <v>283</v>
      </c>
      <c r="M283" s="79"/>
      <c r="N283" s="73"/>
      <c r="O283" s="81" t="s">
        <v>565</v>
      </c>
      <c r="P283" s="81"/>
      <c r="Q283" s="81"/>
      <c r="R283" s="81"/>
      <c r="S283" s="81"/>
      <c r="T283" s="81"/>
      <c r="U283" s="81"/>
      <c r="V283" s="81" t="s">
        <v>1136</v>
      </c>
      <c r="W283" s="86" t="str">
        <f>HYPERLINK("https://www.youtube.com/watch?v=XmBgsR82uPo")</f>
        <v>https://www.youtube.com/watch?v=XmBgsR82uPo</v>
      </c>
      <c r="X283" s="81"/>
      <c r="Y283" s="81"/>
      <c r="Z283" s="88">
        <v>44508.36746527778</v>
      </c>
      <c r="AA283" s="81"/>
      <c r="AB283" s="81"/>
      <c r="AC283" s="81"/>
      <c r="AD283" s="81"/>
      <c r="AE283">
        <v>1</v>
      </c>
      <c r="AF283" s="80" t="str">
        <f>REPLACE(INDEX(GroupVertices[Group],MATCH(Edges[[#This Row],[Vertex 1]],GroupVertices[Vertex],0)),1,1,"")</f>
        <v>2</v>
      </c>
      <c r="AG283" s="80" t="str">
        <f>REPLACE(INDEX(GroupVertices[Group],MATCH(Edges[[#This Row],[Vertex 2]],GroupVertices[Vertex],0)),1,1,"")</f>
        <v>2</v>
      </c>
      <c r="AH283" s="49"/>
      <c r="AI283" s="50"/>
      <c r="AJ283" s="49"/>
      <c r="AK283" s="50"/>
      <c r="AL283" s="49"/>
      <c r="AM283" s="50"/>
      <c r="AN283" s="49"/>
      <c r="AO283" s="50"/>
      <c r="AP283" s="49"/>
    </row>
    <row r="284" spans="1:42" ht="15">
      <c r="A284" s="65" t="s">
        <v>523</v>
      </c>
      <c r="B284" s="65" t="s">
        <v>523</v>
      </c>
      <c r="C284" s="66" t="s">
        <v>2942</v>
      </c>
      <c r="D284" s="67">
        <v>3</v>
      </c>
      <c r="E284" s="68"/>
      <c r="F284" s="69">
        <v>40</v>
      </c>
      <c r="G284" s="66"/>
      <c r="H284" s="70"/>
      <c r="I284" s="71"/>
      <c r="J284" s="71"/>
      <c r="K284" s="35" t="s">
        <v>65</v>
      </c>
      <c r="L284" s="79">
        <v>284</v>
      </c>
      <c r="M284" s="79"/>
      <c r="N284" s="73"/>
      <c r="O284" s="81" t="s">
        <v>565</v>
      </c>
      <c r="P284" s="81"/>
      <c r="Q284" s="81"/>
      <c r="R284" s="81"/>
      <c r="S284" s="81"/>
      <c r="T284" s="81"/>
      <c r="U284" s="81"/>
      <c r="V284" s="81" t="s">
        <v>1137</v>
      </c>
      <c r="W284" s="86" t="str">
        <f>HYPERLINK("https://www.youtube.com/watch?v=8cNW3OD6I0o")</f>
        <v>https://www.youtube.com/watch?v=8cNW3OD6I0o</v>
      </c>
      <c r="X284" s="81"/>
      <c r="Y284" s="81"/>
      <c r="Z284" s="88">
        <v>43151.483981481484</v>
      </c>
      <c r="AA284" s="81"/>
      <c r="AB284" s="81"/>
      <c r="AC284" s="81"/>
      <c r="AD284" s="81"/>
      <c r="AE284">
        <v>1</v>
      </c>
      <c r="AF284" s="80" t="str">
        <f>REPLACE(INDEX(GroupVertices[Group],MATCH(Edges[[#This Row],[Vertex 1]],GroupVertices[Vertex],0)),1,1,"")</f>
        <v>2</v>
      </c>
      <c r="AG284" s="80" t="str">
        <f>REPLACE(INDEX(GroupVertices[Group],MATCH(Edges[[#This Row],[Vertex 2]],GroupVertices[Vertex],0)),1,1,"")</f>
        <v>2</v>
      </c>
      <c r="AH284" s="49"/>
      <c r="AI284" s="50"/>
      <c r="AJ284" s="49"/>
      <c r="AK284" s="50"/>
      <c r="AL284" s="49"/>
      <c r="AM284" s="50"/>
      <c r="AN284" s="49"/>
      <c r="AO284" s="50"/>
      <c r="AP284" s="49"/>
    </row>
    <row r="285" spans="1:42" ht="15">
      <c r="A285" s="65" t="s">
        <v>524</v>
      </c>
      <c r="B285" s="65" t="s">
        <v>524</v>
      </c>
      <c r="C285" s="66" t="s">
        <v>2942</v>
      </c>
      <c r="D285" s="67">
        <v>3</v>
      </c>
      <c r="E285" s="68"/>
      <c r="F285" s="69">
        <v>40</v>
      </c>
      <c r="G285" s="66"/>
      <c r="H285" s="70"/>
      <c r="I285" s="71"/>
      <c r="J285" s="71"/>
      <c r="K285" s="35" t="s">
        <v>65</v>
      </c>
      <c r="L285" s="79">
        <v>285</v>
      </c>
      <c r="M285" s="79"/>
      <c r="N285" s="73"/>
      <c r="O285" s="81" t="s">
        <v>565</v>
      </c>
      <c r="P285" s="81"/>
      <c r="Q285" s="81"/>
      <c r="R285" s="81"/>
      <c r="S285" s="81"/>
      <c r="T285" s="81"/>
      <c r="U285" s="81"/>
      <c r="V285" s="81" t="s">
        <v>1138</v>
      </c>
      <c r="W285" s="86" t="str">
        <f>HYPERLINK("https://www.youtube.com/watch?v=V5J2bUOoNh8")</f>
        <v>https://www.youtube.com/watch?v=V5J2bUOoNh8</v>
      </c>
      <c r="X285" s="81"/>
      <c r="Y285" s="81"/>
      <c r="Z285" s="88">
        <v>44649.73662037037</v>
      </c>
      <c r="AA285" s="81"/>
      <c r="AB285" s="81"/>
      <c r="AC285" s="81"/>
      <c r="AD285" s="81"/>
      <c r="AE285">
        <v>1</v>
      </c>
      <c r="AF285" s="80" t="str">
        <f>REPLACE(INDEX(GroupVertices[Group],MATCH(Edges[[#This Row],[Vertex 1]],GroupVertices[Vertex],0)),1,1,"")</f>
        <v>2</v>
      </c>
      <c r="AG285" s="80" t="str">
        <f>REPLACE(INDEX(GroupVertices[Group],MATCH(Edges[[#This Row],[Vertex 2]],GroupVertices[Vertex],0)),1,1,"")</f>
        <v>2</v>
      </c>
      <c r="AH285" s="49"/>
      <c r="AI285" s="50"/>
      <c r="AJ285" s="49"/>
      <c r="AK285" s="50"/>
      <c r="AL285" s="49"/>
      <c r="AM285" s="50"/>
      <c r="AN285" s="49"/>
      <c r="AO285" s="50"/>
      <c r="AP285" s="49"/>
    </row>
    <row r="286" spans="1:42" ht="15">
      <c r="A286" s="65" t="s">
        <v>525</v>
      </c>
      <c r="B286" s="65" t="s">
        <v>525</v>
      </c>
      <c r="C286" s="66" t="s">
        <v>2942</v>
      </c>
      <c r="D286" s="67">
        <v>3</v>
      </c>
      <c r="E286" s="68"/>
      <c r="F286" s="69">
        <v>40</v>
      </c>
      <c r="G286" s="66"/>
      <c r="H286" s="70"/>
      <c r="I286" s="71"/>
      <c r="J286" s="71"/>
      <c r="K286" s="35" t="s">
        <v>65</v>
      </c>
      <c r="L286" s="79">
        <v>286</v>
      </c>
      <c r="M286" s="79"/>
      <c r="N286" s="73"/>
      <c r="O286" s="81" t="s">
        <v>565</v>
      </c>
      <c r="P286" s="81"/>
      <c r="Q286" s="81"/>
      <c r="R286" s="81"/>
      <c r="S286" s="81"/>
      <c r="T286" s="81"/>
      <c r="U286" s="81"/>
      <c r="V286" s="81" t="s">
        <v>1089</v>
      </c>
      <c r="W286" s="86" t="str">
        <f>HYPERLINK("https://www.youtube.com/watch?v=hN3-wTOxrsY")</f>
        <v>https://www.youtube.com/watch?v=hN3-wTOxrsY</v>
      </c>
      <c r="X286" s="81"/>
      <c r="Y286" s="81"/>
      <c r="Z286" s="88">
        <v>41417.94684027778</v>
      </c>
      <c r="AA286" s="81"/>
      <c r="AB286" s="81"/>
      <c r="AC286" s="81"/>
      <c r="AD286" s="81"/>
      <c r="AE286">
        <v>1</v>
      </c>
      <c r="AF286" s="80" t="str">
        <f>REPLACE(INDEX(GroupVertices[Group],MATCH(Edges[[#This Row],[Vertex 1]],GroupVertices[Vertex],0)),1,1,"")</f>
        <v>11</v>
      </c>
      <c r="AG286" s="80" t="str">
        <f>REPLACE(INDEX(GroupVertices[Group],MATCH(Edges[[#This Row],[Vertex 2]],GroupVertices[Vertex],0)),1,1,"")</f>
        <v>11</v>
      </c>
      <c r="AH286" s="49"/>
      <c r="AI286" s="50"/>
      <c r="AJ286" s="49"/>
      <c r="AK286" s="50"/>
      <c r="AL286" s="49"/>
      <c r="AM286" s="50"/>
      <c r="AN286" s="49"/>
      <c r="AO286" s="50"/>
      <c r="AP286" s="49"/>
    </row>
    <row r="287" spans="1:42" ht="15">
      <c r="A287" s="65" t="s">
        <v>526</v>
      </c>
      <c r="B287" s="65" t="s">
        <v>526</v>
      </c>
      <c r="C287" s="66" t="s">
        <v>2942</v>
      </c>
      <c r="D287" s="67">
        <v>3</v>
      </c>
      <c r="E287" s="68"/>
      <c r="F287" s="69">
        <v>40</v>
      </c>
      <c r="G287" s="66"/>
      <c r="H287" s="70"/>
      <c r="I287" s="71"/>
      <c r="J287" s="71"/>
      <c r="K287" s="35" t="s">
        <v>65</v>
      </c>
      <c r="L287" s="79">
        <v>287</v>
      </c>
      <c r="M287" s="79"/>
      <c r="N287" s="73"/>
      <c r="O287" s="81" t="s">
        <v>565</v>
      </c>
      <c r="P287" s="81"/>
      <c r="Q287" s="81"/>
      <c r="R287" s="81"/>
      <c r="S287" s="81"/>
      <c r="T287" s="81"/>
      <c r="U287" s="81"/>
      <c r="V287" s="81" t="s">
        <v>1091</v>
      </c>
      <c r="W287" s="86" t="str">
        <f>HYPERLINK("https://www.youtube.com/watch?v=hTnnEnpQkkk")</f>
        <v>https://www.youtube.com/watch?v=hTnnEnpQkkk</v>
      </c>
      <c r="X287" s="81"/>
      <c r="Y287" s="81"/>
      <c r="Z287" s="88">
        <v>42039.86461805556</v>
      </c>
      <c r="AA287" s="81"/>
      <c r="AB287" s="81"/>
      <c r="AC287" s="81"/>
      <c r="AD287" s="81"/>
      <c r="AE287">
        <v>1</v>
      </c>
      <c r="AF287" s="80" t="str">
        <f>REPLACE(INDEX(GroupVertices[Group],MATCH(Edges[[#This Row],[Vertex 1]],GroupVertices[Vertex],0)),1,1,"")</f>
        <v>14</v>
      </c>
      <c r="AG287" s="80" t="str">
        <f>REPLACE(INDEX(GroupVertices[Group],MATCH(Edges[[#This Row],[Vertex 2]],GroupVertices[Vertex],0)),1,1,"")</f>
        <v>14</v>
      </c>
      <c r="AH287" s="49"/>
      <c r="AI287" s="50"/>
      <c r="AJ287" s="49"/>
      <c r="AK287" s="50"/>
      <c r="AL287" s="49"/>
      <c r="AM287" s="50"/>
      <c r="AN287" s="49"/>
      <c r="AO287" s="50"/>
      <c r="AP287" s="49"/>
    </row>
    <row r="288" spans="1:42" ht="15">
      <c r="A288" s="65" t="s">
        <v>527</v>
      </c>
      <c r="B288" s="65" t="s">
        <v>527</v>
      </c>
      <c r="C288" s="66" t="s">
        <v>2942</v>
      </c>
      <c r="D288" s="67">
        <v>3</v>
      </c>
      <c r="E288" s="68"/>
      <c r="F288" s="69">
        <v>40</v>
      </c>
      <c r="G288" s="66"/>
      <c r="H288" s="70"/>
      <c r="I288" s="71"/>
      <c r="J288" s="71"/>
      <c r="K288" s="35" t="s">
        <v>65</v>
      </c>
      <c r="L288" s="79">
        <v>288</v>
      </c>
      <c r="M288" s="79"/>
      <c r="N288" s="73"/>
      <c r="O288" s="81" t="s">
        <v>565</v>
      </c>
      <c r="P288" s="81"/>
      <c r="Q288" s="81"/>
      <c r="R288" s="81"/>
      <c r="S288" s="81"/>
      <c r="T288" s="81"/>
      <c r="U288" s="81"/>
      <c r="V288" s="81" t="s">
        <v>1139</v>
      </c>
      <c r="W288" s="86" t="str">
        <f>HYPERLINK("https://www.youtube.com/watch?v=R544_0CS46g")</f>
        <v>https://www.youtube.com/watch?v=R544_0CS46g</v>
      </c>
      <c r="X288" s="81"/>
      <c r="Y288" s="81"/>
      <c r="Z288" s="88">
        <v>41561.60041666667</v>
      </c>
      <c r="AA288" s="81"/>
      <c r="AB288" s="81"/>
      <c r="AC288" s="81"/>
      <c r="AD288" s="81"/>
      <c r="AE288">
        <v>1</v>
      </c>
      <c r="AF288" s="80" t="str">
        <f>REPLACE(INDEX(GroupVertices[Group],MATCH(Edges[[#This Row],[Vertex 1]],GroupVertices[Vertex],0)),1,1,"")</f>
        <v>2</v>
      </c>
      <c r="AG288" s="80" t="str">
        <f>REPLACE(INDEX(GroupVertices[Group],MATCH(Edges[[#This Row],[Vertex 2]],GroupVertices[Vertex],0)),1,1,"")</f>
        <v>2</v>
      </c>
      <c r="AH288" s="49"/>
      <c r="AI288" s="50"/>
      <c r="AJ288" s="49"/>
      <c r="AK288" s="50"/>
      <c r="AL288" s="49"/>
      <c r="AM288" s="50"/>
      <c r="AN288" s="49"/>
      <c r="AO288" s="50"/>
      <c r="AP288" s="49"/>
    </row>
    <row r="289" spans="1:42" ht="15">
      <c r="A289" s="65" t="s">
        <v>528</v>
      </c>
      <c r="B289" s="65" t="s">
        <v>528</v>
      </c>
      <c r="C289" s="66" t="s">
        <v>2943</v>
      </c>
      <c r="D289" s="67">
        <v>4.4</v>
      </c>
      <c r="E289" s="68"/>
      <c r="F289" s="69">
        <v>35</v>
      </c>
      <c r="G289" s="66"/>
      <c r="H289" s="70"/>
      <c r="I289" s="71"/>
      <c r="J289" s="71"/>
      <c r="K289" s="35" t="s">
        <v>65</v>
      </c>
      <c r="L289" s="79">
        <v>289</v>
      </c>
      <c r="M289" s="79"/>
      <c r="N289" s="73"/>
      <c r="O289" s="81" t="s">
        <v>565</v>
      </c>
      <c r="P289" s="81"/>
      <c r="Q289" s="81"/>
      <c r="R289" s="81"/>
      <c r="S289" s="81"/>
      <c r="T289" s="81"/>
      <c r="U289" s="81"/>
      <c r="V289" s="81" t="s">
        <v>1140</v>
      </c>
      <c r="W289" s="86" t="str">
        <f>HYPERLINK("https://www.youtube.com/watch?v=imzmS6mzOws")</f>
        <v>https://www.youtube.com/watch?v=imzmS6mzOws</v>
      </c>
      <c r="X289" s="81"/>
      <c r="Y289" s="81"/>
      <c r="Z289" s="88">
        <v>42599.98983796296</v>
      </c>
      <c r="AA289" s="81"/>
      <c r="AB289" s="81"/>
      <c r="AC289" s="81"/>
      <c r="AD289" s="81"/>
      <c r="AE289">
        <v>2</v>
      </c>
      <c r="AF289" s="80" t="str">
        <f>REPLACE(INDEX(GroupVertices[Group],MATCH(Edges[[#This Row],[Vertex 1]],GroupVertices[Vertex],0)),1,1,"")</f>
        <v>2</v>
      </c>
      <c r="AG289" s="80" t="str">
        <f>REPLACE(INDEX(GroupVertices[Group],MATCH(Edges[[#This Row],[Vertex 2]],GroupVertices[Vertex],0)),1,1,"")</f>
        <v>2</v>
      </c>
      <c r="AH289" s="49"/>
      <c r="AI289" s="50"/>
      <c r="AJ289" s="49"/>
      <c r="AK289" s="50"/>
      <c r="AL289" s="49"/>
      <c r="AM289" s="50"/>
      <c r="AN289" s="49"/>
      <c r="AO289" s="50"/>
      <c r="AP289" s="49"/>
    </row>
    <row r="290" spans="1:42" ht="15">
      <c r="A290" s="65" t="s">
        <v>528</v>
      </c>
      <c r="B290" s="65" t="s">
        <v>528</v>
      </c>
      <c r="C290" s="66" t="s">
        <v>2943</v>
      </c>
      <c r="D290" s="67">
        <v>4.4</v>
      </c>
      <c r="E290" s="68"/>
      <c r="F290" s="69">
        <v>35</v>
      </c>
      <c r="G290" s="66"/>
      <c r="H290" s="70"/>
      <c r="I290" s="71"/>
      <c r="J290" s="71"/>
      <c r="K290" s="35" t="s">
        <v>65</v>
      </c>
      <c r="L290" s="79">
        <v>290</v>
      </c>
      <c r="M290" s="79"/>
      <c r="N290" s="73"/>
      <c r="O290" s="81" t="s">
        <v>565</v>
      </c>
      <c r="P290" s="81"/>
      <c r="Q290" s="81"/>
      <c r="R290" s="81"/>
      <c r="S290" s="81"/>
      <c r="T290" s="81"/>
      <c r="U290" s="81"/>
      <c r="V290" s="81" t="s">
        <v>1141</v>
      </c>
      <c r="W290" s="86" t="str">
        <f>HYPERLINK("https://www.youtube.com/watch?v=mGfzlUpCpxw")</f>
        <v>https://www.youtube.com/watch?v=mGfzlUpCpxw</v>
      </c>
      <c r="X290" s="81"/>
      <c r="Y290" s="81"/>
      <c r="Z290" s="88">
        <v>42620.808645833335</v>
      </c>
      <c r="AA290" s="81"/>
      <c r="AB290" s="81"/>
      <c r="AC290" s="81"/>
      <c r="AD290" s="81"/>
      <c r="AE290">
        <v>2</v>
      </c>
      <c r="AF290" s="80" t="str">
        <f>REPLACE(INDEX(GroupVertices[Group],MATCH(Edges[[#This Row],[Vertex 1]],GroupVertices[Vertex],0)),1,1,"")</f>
        <v>2</v>
      </c>
      <c r="AG290" s="80" t="str">
        <f>REPLACE(INDEX(GroupVertices[Group],MATCH(Edges[[#This Row],[Vertex 2]],GroupVertices[Vertex],0)),1,1,"")</f>
        <v>2</v>
      </c>
      <c r="AH290" s="49"/>
      <c r="AI290" s="50"/>
      <c r="AJ290" s="49"/>
      <c r="AK290" s="50"/>
      <c r="AL290" s="49"/>
      <c r="AM290" s="50"/>
      <c r="AN290" s="49"/>
      <c r="AO290" s="50"/>
      <c r="AP290" s="49"/>
    </row>
    <row r="291" spans="1:42" ht="15">
      <c r="A291" s="65" t="s">
        <v>529</v>
      </c>
      <c r="B291" s="65" t="s">
        <v>529</v>
      </c>
      <c r="C291" s="66" t="s">
        <v>2942</v>
      </c>
      <c r="D291" s="67">
        <v>3</v>
      </c>
      <c r="E291" s="68"/>
      <c r="F291" s="69">
        <v>40</v>
      </c>
      <c r="G291" s="66"/>
      <c r="H291" s="70"/>
      <c r="I291" s="71"/>
      <c r="J291" s="71"/>
      <c r="K291" s="35" t="s">
        <v>65</v>
      </c>
      <c r="L291" s="79">
        <v>291</v>
      </c>
      <c r="M291" s="79"/>
      <c r="N291" s="73"/>
      <c r="O291" s="81" t="s">
        <v>565</v>
      </c>
      <c r="P291" s="81"/>
      <c r="Q291" s="81"/>
      <c r="R291" s="81"/>
      <c r="S291" s="81"/>
      <c r="T291" s="81"/>
      <c r="U291" s="81"/>
      <c r="V291" s="81" t="s">
        <v>1092</v>
      </c>
      <c r="W291" s="86" t="str">
        <f>HYPERLINK("https://www.youtube.com/watch?v=5_mfdaFBRy4")</f>
        <v>https://www.youtube.com/watch?v=5_mfdaFBRy4</v>
      </c>
      <c r="X291" s="81"/>
      <c r="Y291" s="81"/>
      <c r="Z291" s="88">
        <v>42135.806608796294</v>
      </c>
      <c r="AA291" s="81"/>
      <c r="AB291" s="81"/>
      <c r="AC291" s="81"/>
      <c r="AD291" s="81"/>
      <c r="AE291">
        <v>1</v>
      </c>
      <c r="AF291" s="80" t="str">
        <f>REPLACE(INDEX(GroupVertices[Group],MATCH(Edges[[#This Row],[Vertex 1]],GroupVertices[Vertex],0)),1,1,"")</f>
        <v>24</v>
      </c>
      <c r="AG291" s="80" t="str">
        <f>REPLACE(INDEX(GroupVertices[Group],MATCH(Edges[[#This Row],[Vertex 2]],GroupVertices[Vertex],0)),1,1,"")</f>
        <v>24</v>
      </c>
      <c r="AH291" s="49"/>
      <c r="AI291" s="50"/>
      <c r="AJ291" s="49"/>
      <c r="AK291" s="50"/>
      <c r="AL291" s="49"/>
      <c r="AM291" s="50"/>
      <c r="AN291" s="49"/>
      <c r="AO291" s="50"/>
      <c r="AP291" s="49"/>
    </row>
    <row r="292" spans="1:42" ht="15">
      <c r="A292" s="65" t="s">
        <v>530</v>
      </c>
      <c r="B292" s="65" t="s">
        <v>530</v>
      </c>
      <c r="C292" s="66" t="s">
        <v>2942</v>
      </c>
      <c r="D292" s="67">
        <v>3</v>
      </c>
      <c r="E292" s="68"/>
      <c r="F292" s="69">
        <v>40</v>
      </c>
      <c r="G292" s="66"/>
      <c r="H292" s="70"/>
      <c r="I292" s="71"/>
      <c r="J292" s="71"/>
      <c r="K292" s="35" t="s">
        <v>65</v>
      </c>
      <c r="L292" s="79">
        <v>292</v>
      </c>
      <c r="M292" s="79"/>
      <c r="N292" s="73"/>
      <c r="O292" s="81" t="s">
        <v>565</v>
      </c>
      <c r="P292" s="81"/>
      <c r="Q292" s="81"/>
      <c r="R292" s="81"/>
      <c r="S292" s="81"/>
      <c r="T292" s="81"/>
      <c r="U292" s="81"/>
      <c r="V292" s="81" t="s">
        <v>1142</v>
      </c>
      <c r="W292" s="86" t="str">
        <f>HYPERLINK("https://www.youtube.com/watch?v=M-7plTokyJ4")</f>
        <v>https://www.youtube.com/watch?v=M-7plTokyJ4</v>
      </c>
      <c r="X292" s="81"/>
      <c r="Y292" s="81"/>
      <c r="Z292" s="88">
        <v>44472.91237268518</v>
      </c>
      <c r="AA292" s="81"/>
      <c r="AB292" s="81"/>
      <c r="AC292" s="81"/>
      <c r="AD292" s="81"/>
      <c r="AE292">
        <v>1</v>
      </c>
      <c r="AF292" s="80" t="str">
        <f>REPLACE(INDEX(GroupVertices[Group],MATCH(Edges[[#This Row],[Vertex 1]],GroupVertices[Vertex],0)),1,1,"")</f>
        <v>2</v>
      </c>
      <c r="AG292" s="80" t="str">
        <f>REPLACE(INDEX(GroupVertices[Group],MATCH(Edges[[#This Row],[Vertex 2]],GroupVertices[Vertex],0)),1,1,"")</f>
        <v>2</v>
      </c>
      <c r="AH292" s="49"/>
      <c r="AI292" s="50"/>
      <c r="AJ292" s="49"/>
      <c r="AK292" s="50"/>
      <c r="AL292" s="49"/>
      <c r="AM292" s="50"/>
      <c r="AN292" s="49"/>
      <c r="AO292" s="50"/>
      <c r="AP292" s="49"/>
    </row>
    <row r="293" spans="1:42" ht="15">
      <c r="A293" s="65" t="s">
        <v>531</v>
      </c>
      <c r="B293" s="65" t="s">
        <v>531</v>
      </c>
      <c r="C293" s="66" t="s">
        <v>2942</v>
      </c>
      <c r="D293" s="67">
        <v>3</v>
      </c>
      <c r="E293" s="68"/>
      <c r="F293" s="69">
        <v>40</v>
      </c>
      <c r="G293" s="66"/>
      <c r="H293" s="70"/>
      <c r="I293" s="71"/>
      <c r="J293" s="71"/>
      <c r="K293" s="35" t="s">
        <v>65</v>
      </c>
      <c r="L293" s="79">
        <v>293</v>
      </c>
      <c r="M293" s="79"/>
      <c r="N293" s="73"/>
      <c r="O293" s="81" t="s">
        <v>565</v>
      </c>
      <c r="P293" s="81"/>
      <c r="Q293" s="81"/>
      <c r="R293" s="81"/>
      <c r="S293" s="81"/>
      <c r="T293" s="81"/>
      <c r="U293" s="81"/>
      <c r="V293" s="81" t="s">
        <v>1093</v>
      </c>
      <c r="W293" s="86" t="str">
        <f>HYPERLINK("https://www.youtube.com/watch?v=0M3T65Iw3Ac")</f>
        <v>https://www.youtube.com/watch?v=0M3T65Iw3Ac</v>
      </c>
      <c r="X293" s="81"/>
      <c r="Y293" s="81"/>
      <c r="Z293" s="88">
        <v>39947.694756944446</v>
      </c>
      <c r="AA293" s="81"/>
      <c r="AB293" s="81"/>
      <c r="AC293" s="81"/>
      <c r="AD293" s="81"/>
      <c r="AE293">
        <v>1</v>
      </c>
      <c r="AF293" s="80" t="str">
        <f>REPLACE(INDEX(GroupVertices[Group],MATCH(Edges[[#This Row],[Vertex 1]],GroupVertices[Vertex],0)),1,1,"")</f>
        <v>23</v>
      </c>
      <c r="AG293" s="80" t="str">
        <f>REPLACE(INDEX(GroupVertices[Group],MATCH(Edges[[#This Row],[Vertex 2]],GroupVertices[Vertex],0)),1,1,"")</f>
        <v>23</v>
      </c>
      <c r="AH293" s="49"/>
      <c r="AI293" s="50"/>
      <c r="AJ293" s="49"/>
      <c r="AK293" s="50"/>
      <c r="AL293" s="49"/>
      <c r="AM293" s="50"/>
      <c r="AN293" s="49"/>
      <c r="AO293" s="50"/>
      <c r="AP293" s="49"/>
    </row>
    <row r="294" spans="1:42" ht="15">
      <c r="A294" s="65" t="s">
        <v>532</v>
      </c>
      <c r="B294" s="65" t="s">
        <v>532</v>
      </c>
      <c r="C294" s="66" t="s">
        <v>2942</v>
      </c>
      <c r="D294" s="67">
        <v>3</v>
      </c>
      <c r="E294" s="68"/>
      <c r="F294" s="69">
        <v>40</v>
      </c>
      <c r="G294" s="66"/>
      <c r="H294" s="70"/>
      <c r="I294" s="71"/>
      <c r="J294" s="71"/>
      <c r="K294" s="35" t="s">
        <v>65</v>
      </c>
      <c r="L294" s="79">
        <v>294</v>
      </c>
      <c r="M294" s="79"/>
      <c r="N294" s="73"/>
      <c r="O294" s="81" t="s">
        <v>565</v>
      </c>
      <c r="P294" s="81"/>
      <c r="Q294" s="81"/>
      <c r="R294" s="81"/>
      <c r="S294" s="81"/>
      <c r="T294" s="81"/>
      <c r="U294" s="81"/>
      <c r="V294" s="81" t="s">
        <v>1143</v>
      </c>
      <c r="W294" s="86" t="str">
        <f>HYPERLINK("https://www.youtube.com/watch?v=fhuWyA2B_m4")</f>
        <v>https://www.youtube.com/watch?v=fhuWyA2B_m4</v>
      </c>
      <c r="X294" s="81"/>
      <c r="Y294" s="81"/>
      <c r="Z294" s="88">
        <v>42430.78876157408</v>
      </c>
      <c r="AA294" s="81"/>
      <c r="AB294" s="81"/>
      <c r="AC294" s="81"/>
      <c r="AD294" s="81"/>
      <c r="AE294">
        <v>1</v>
      </c>
      <c r="AF294" s="80" t="str">
        <f>REPLACE(INDEX(GroupVertices[Group],MATCH(Edges[[#This Row],[Vertex 1]],GroupVertices[Vertex],0)),1,1,"")</f>
        <v>2</v>
      </c>
      <c r="AG294" s="80" t="str">
        <f>REPLACE(INDEX(GroupVertices[Group],MATCH(Edges[[#This Row],[Vertex 2]],GroupVertices[Vertex],0)),1,1,"")</f>
        <v>2</v>
      </c>
      <c r="AH294" s="49"/>
      <c r="AI294" s="50"/>
      <c r="AJ294" s="49"/>
      <c r="AK294" s="50"/>
      <c r="AL294" s="49"/>
      <c r="AM294" s="50"/>
      <c r="AN294" s="49"/>
      <c r="AO294" s="50"/>
      <c r="AP294" s="49"/>
    </row>
    <row r="295" spans="1:42" ht="15">
      <c r="A295" s="65" t="s">
        <v>533</v>
      </c>
      <c r="B295" s="65" t="s">
        <v>533</v>
      </c>
      <c r="C295" s="66" t="s">
        <v>2942</v>
      </c>
      <c r="D295" s="67">
        <v>3</v>
      </c>
      <c r="E295" s="68"/>
      <c r="F295" s="69">
        <v>40</v>
      </c>
      <c r="G295" s="66"/>
      <c r="H295" s="70"/>
      <c r="I295" s="71"/>
      <c r="J295" s="71"/>
      <c r="K295" s="35" t="s">
        <v>65</v>
      </c>
      <c r="L295" s="79">
        <v>295</v>
      </c>
      <c r="M295" s="79"/>
      <c r="N295" s="73"/>
      <c r="O295" s="81" t="s">
        <v>565</v>
      </c>
      <c r="P295" s="81"/>
      <c r="Q295" s="81"/>
      <c r="R295" s="81"/>
      <c r="S295" s="81"/>
      <c r="T295" s="81"/>
      <c r="U295" s="81"/>
      <c r="V295" s="81" t="s">
        <v>1144</v>
      </c>
      <c r="W295" s="86" t="str">
        <f>HYPERLINK("https://www.youtube.com/watch?v=Ec0agEZ557k")</f>
        <v>https://www.youtube.com/watch?v=Ec0agEZ557k</v>
      </c>
      <c r="X295" s="81"/>
      <c r="Y295" s="81"/>
      <c r="Z295" s="88">
        <v>41293.681122685186</v>
      </c>
      <c r="AA295" s="81"/>
      <c r="AB295" s="81"/>
      <c r="AC295" s="81"/>
      <c r="AD295" s="81"/>
      <c r="AE295">
        <v>1</v>
      </c>
      <c r="AF295" s="80" t="str">
        <f>REPLACE(INDEX(GroupVertices[Group],MATCH(Edges[[#This Row],[Vertex 1]],GroupVertices[Vertex],0)),1,1,"")</f>
        <v>2</v>
      </c>
      <c r="AG295" s="80" t="str">
        <f>REPLACE(INDEX(GroupVertices[Group],MATCH(Edges[[#This Row],[Vertex 2]],GroupVertices[Vertex],0)),1,1,"")</f>
        <v>2</v>
      </c>
      <c r="AH295" s="49"/>
      <c r="AI295" s="50"/>
      <c r="AJ295" s="49"/>
      <c r="AK295" s="50"/>
      <c r="AL295" s="49"/>
      <c r="AM295" s="50"/>
      <c r="AN295" s="49"/>
      <c r="AO295" s="50"/>
      <c r="AP295" s="49"/>
    </row>
    <row r="296" spans="1:42" ht="15">
      <c r="A296" s="65" t="s">
        <v>353</v>
      </c>
      <c r="B296" s="65" t="s">
        <v>353</v>
      </c>
      <c r="C296" s="66" t="s">
        <v>2947</v>
      </c>
      <c r="D296" s="67">
        <v>10</v>
      </c>
      <c r="E296" s="68"/>
      <c r="F296" s="69">
        <v>15</v>
      </c>
      <c r="G296" s="66"/>
      <c r="H296" s="70"/>
      <c r="I296" s="71"/>
      <c r="J296" s="71"/>
      <c r="K296" s="35" t="s">
        <v>65</v>
      </c>
      <c r="L296" s="79">
        <v>296</v>
      </c>
      <c r="M296" s="79"/>
      <c r="N296" s="73"/>
      <c r="O296" s="81" t="s">
        <v>563</v>
      </c>
      <c r="P296" s="81" t="s">
        <v>325</v>
      </c>
      <c r="Q296" s="84" t="s">
        <v>834</v>
      </c>
      <c r="R296" s="81" t="s">
        <v>353</v>
      </c>
      <c r="S296" s="81" t="s">
        <v>866</v>
      </c>
      <c r="T296" s="86" t="str">
        <f>HYPERLINK("http://www.youtube.com/channel/UCfYrvWfah8SKHvX-fQ_oLWQ")</f>
        <v>http://www.youtube.com/channel/UCfYrvWfah8SKHvX-fQ_oLWQ</v>
      </c>
      <c r="U296" s="81"/>
      <c r="V296" s="81" t="s">
        <v>1095</v>
      </c>
      <c r="W296" s="86" t="str">
        <f>HYPERLINK("https://www.youtube.com/watch?v=o-D-Duv8Mcs")</f>
        <v>https://www.youtube.com/watch?v=o-D-Duv8Mcs</v>
      </c>
      <c r="X296" s="81" t="s">
        <v>1183</v>
      </c>
      <c r="Y296" s="81">
        <v>1</v>
      </c>
      <c r="Z296" s="88">
        <v>43923.709756944445</v>
      </c>
      <c r="AA296" s="88">
        <v>43923.709756944445</v>
      </c>
      <c r="AB296" s="81" t="s">
        <v>1210</v>
      </c>
      <c r="AC296" s="81" t="s">
        <v>1235</v>
      </c>
      <c r="AD296" s="84" t="s">
        <v>1239</v>
      </c>
      <c r="AE296" s="82">
        <v>7</v>
      </c>
      <c r="AF296" s="83" t="str">
        <f>REPLACE(INDEX(GroupVertices[Group],MATCH(Edges[[#This Row],[Vertex 1]],GroupVertices[Vertex],0)),1,1,"")</f>
        <v>17</v>
      </c>
      <c r="AG296" s="83" t="str">
        <f>REPLACE(INDEX(GroupVertices[Group],MATCH(Edges[[#This Row],[Vertex 2]],GroupVertices[Vertex],0)),1,1,"")</f>
        <v>17</v>
      </c>
      <c r="AH296" s="111">
        <v>0</v>
      </c>
      <c r="AI296" s="112">
        <v>0</v>
      </c>
      <c r="AJ296" s="111">
        <v>0</v>
      </c>
      <c r="AK296" s="112">
        <v>0</v>
      </c>
      <c r="AL296" s="111">
        <v>0</v>
      </c>
      <c r="AM296" s="112">
        <v>0</v>
      </c>
      <c r="AN296" s="111">
        <v>35</v>
      </c>
      <c r="AO296" s="112">
        <v>100</v>
      </c>
      <c r="AP296" s="111">
        <v>35</v>
      </c>
    </row>
    <row r="297" spans="1:42" ht="15">
      <c r="A297" s="65" t="s">
        <v>353</v>
      </c>
      <c r="B297" s="65" t="s">
        <v>353</v>
      </c>
      <c r="C297" s="66" t="s">
        <v>2947</v>
      </c>
      <c r="D297" s="67">
        <v>10</v>
      </c>
      <c r="E297" s="68"/>
      <c r="F297" s="69">
        <v>15</v>
      </c>
      <c r="G297" s="66"/>
      <c r="H297" s="70"/>
      <c r="I297" s="71"/>
      <c r="J297" s="71"/>
      <c r="K297" s="35" t="s">
        <v>65</v>
      </c>
      <c r="L297" s="79">
        <v>297</v>
      </c>
      <c r="M297" s="79"/>
      <c r="N297" s="73"/>
      <c r="O297" s="81" t="s">
        <v>563</v>
      </c>
      <c r="P297" s="81" t="s">
        <v>325</v>
      </c>
      <c r="Q297" s="84" t="s">
        <v>835</v>
      </c>
      <c r="R297" s="81" t="s">
        <v>353</v>
      </c>
      <c r="S297" s="81" t="s">
        <v>866</v>
      </c>
      <c r="T297" s="86" t="str">
        <f>HYPERLINK("http://www.youtube.com/channel/UCfYrvWfah8SKHvX-fQ_oLWQ")</f>
        <v>http://www.youtube.com/channel/UCfYrvWfah8SKHvX-fQ_oLWQ</v>
      </c>
      <c r="U297" s="81"/>
      <c r="V297" s="81" t="s">
        <v>1095</v>
      </c>
      <c r="W297" s="86" t="str">
        <f>HYPERLINK("https://www.youtube.com/watch?v=o-D-Duv8Mcs")</f>
        <v>https://www.youtube.com/watch?v=o-D-Duv8Mcs</v>
      </c>
      <c r="X297" s="81" t="s">
        <v>1183</v>
      </c>
      <c r="Y297" s="81">
        <v>1</v>
      </c>
      <c r="Z297" s="88">
        <v>43923.71009259259</v>
      </c>
      <c r="AA297" s="88">
        <v>43923.71009259259</v>
      </c>
      <c r="AB297" s="81" t="s">
        <v>1211</v>
      </c>
      <c r="AC297" s="81" t="s">
        <v>1236</v>
      </c>
      <c r="AD297" s="84" t="s">
        <v>1239</v>
      </c>
      <c r="AE297" s="82">
        <v>7</v>
      </c>
      <c r="AF297" s="83" t="str">
        <f>REPLACE(INDEX(GroupVertices[Group],MATCH(Edges[[#This Row],[Vertex 1]],GroupVertices[Vertex],0)),1,1,"")</f>
        <v>17</v>
      </c>
      <c r="AG297" s="83" t="str">
        <f>REPLACE(INDEX(GroupVertices[Group],MATCH(Edges[[#This Row],[Vertex 2]],GroupVertices[Vertex],0)),1,1,"")</f>
        <v>17</v>
      </c>
      <c r="AH297" s="111">
        <v>0</v>
      </c>
      <c r="AI297" s="112">
        <v>0</v>
      </c>
      <c r="AJ297" s="111">
        <v>0</v>
      </c>
      <c r="AK297" s="112">
        <v>0</v>
      </c>
      <c r="AL297" s="111">
        <v>0</v>
      </c>
      <c r="AM297" s="112">
        <v>0</v>
      </c>
      <c r="AN297" s="111">
        <v>14</v>
      </c>
      <c r="AO297" s="112">
        <v>100</v>
      </c>
      <c r="AP297" s="111">
        <v>14</v>
      </c>
    </row>
    <row r="298" spans="1:42" ht="15">
      <c r="A298" s="65" t="s">
        <v>353</v>
      </c>
      <c r="B298" s="65" t="s">
        <v>353</v>
      </c>
      <c r="C298" s="66" t="s">
        <v>2947</v>
      </c>
      <c r="D298" s="67">
        <v>10</v>
      </c>
      <c r="E298" s="68"/>
      <c r="F298" s="69">
        <v>15</v>
      </c>
      <c r="G298" s="66"/>
      <c r="H298" s="70"/>
      <c r="I298" s="71"/>
      <c r="J298" s="71"/>
      <c r="K298" s="35" t="s">
        <v>65</v>
      </c>
      <c r="L298" s="79">
        <v>298</v>
      </c>
      <c r="M298" s="79"/>
      <c r="N298" s="73"/>
      <c r="O298" s="81" t="s">
        <v>563</v>
      </c>
      <c r="P298" s="81" t="s">
        <v>325</v>
      </c>
      <c r="Q298" s="84" t="s">
        <v>836</v>
      </c>
      <c r="R298" s="81" t="s">
        <v>353</v>
      </c>
      <c r="S298" s="81" t="s">
        <v>866</v>
      </c>
      <c r="T298" s="86" t="str">
        <f>HYPERLINK("http://www.youtube.com/channel/UCfYrvWfah8SKHvX-fQ_oLWQ")</f>
        <v>http://www.youtube.com/channel/UCfYrvWfah8SKHvX-fQ_oLWQ</v>
      </c>
      <c r="U298" s="81"/>
      <c r="V298" s="81" t="s">
        <v>1095</v>
      </c>
      <c r="W298" s="86" t="str">
        <f>HYPERLINK("https://www.youtube.com/watch?v=o-D-Duv8Mcs")</f>
        <v>https://www.youtube.com/watch?v=o-D-Duv8Mcs</v>
      </c>
      <c r="X298" s="81" t="s">
        <v>1183</v>
      </c>
      <c r="Y298" s="81">
        <v>0</v>
      </c>
      <c r="Z298" s="88">
        <v>43923.71135416667</v>
      </c>
      <c r="AA298" s="88">
        <v>43923.71135416667</v>
      </c>
      <c r="AB298" s="81" t="s">
        <v>1212</v>
      </c>
      <c r="AC298" s="81" t="s">
        <v>1235</v>
      </c>
      <c r="AD298" s="84" t="s">
        <v>1239</v>
      </c>
      <c r="AE298" s="82">
        <v>7</v>
      </c>
      <c r="AF298" s="83" t="str">
        <f>REPLACE(INDEX(GroupVertices[Group],MATCH(Edges[[#This Row],[Vertex 1]],GroupVertices[Vertex],0)),1,1,"")</f>
        <v>17</v>
      </c>
      <c r="AG298" s="83" t="str">
        <f>REPLACE(INDEX(GroupVertices[Group],MATCH(Edges[[#This Row],[Vertex 2]],GroupVertices[Vertex],0)),1,1,"")</f>
        <v>17</v>
      </c>
      <c r="AH298" s="111">
        <v>0</v>
      </c>
      <c r="AI298" s="112">
        <v>0</v>
      </c>
      <c r="AJ298" s="111">
        <v>0</v>
      </c>
      <c r="AK298" s="112">
        <v>0</v>
      </c>
      <c r="AL298" s="111">
        <v>0</v>
      </c>
      <c r="AM298" s="112">
        <v>0</v>
      </c>
      <c r="AN298" s="111">
        <v>23</v>
      </c>
      <c r="AO298" s="112">
        <v>100</v>
      </c>
      <c r="AP298" s="111">
        <v>23</v>
      </c>
    </row>
    <row r="299" spans="1:42" ht="15">
      <c r="A299" s="65" t="s">
        <v>353</v>
      </c>
      <c r="B299" s="65" t="s">
        <v>353</v>
      </c>
      <c r="C299" s="66" t="s">
        <v>2947</v>
      </c>
      <c r="D299" s="67">
        <v>10</v>
      </c>
      <c r="E299" s="68"/>
      <c r="F299" s="69">
        <v>15</v>
      </c>
      <c r="G299" s="66"/>
      <c r="H299" s="70"/>
      <c r="I299" s="71"/>
      <c r="J299" s="71"/>
      <c r="K299" s="35" t="s">
        <v>65</v>
      </c>
      <c r="L299" s="79">
        <v>299</v>
      </c>
      <c r="M299" s="79"/>
      <c r="N299" s="73"/>
      <c r="O299" s="81" t="s">
        <v>563</v>
      </c>
      <c r="P299" s="81" t="s">
        <v>325</v>
      </c>
      <c r="Q299" s="84" t="s">
        <v>837</v>
      </c>
      <c r="R299" s="81" t="s">
        <v>353</v>
      </c>
      <c r="S299" s="81" t="s">
        <v>866</v>
      </c>
      <c r="T299" s="86" t="str">
        <f>HYPERLINK("http://www.youtube.com/channel/UCfYrvWfah8SKHvX-fQ_oLWQ")</f>
        <v>http://www.youtube.com/channel/UCfYrvWfah8SKHvX-fQ_oLWQ</v>
      </c>
      <c r="U299" s="81"/>
      <c r="V299" s="81" t="s">
        <v>1095</v>
      </c>
      <c r="W299" s="86" t="str">
        <f>HYPERLINK("https://www.youtube.com/watch?v=o-D-Duv8Mcs")</f>
        <v>https://www.youtube.com/watch?v=o-D-Duv8Mcs</v>
      </c>
      <c r="X299" s="81" t="s">
        <v>1183</v>
      </c>
      <c r="Y299" s="81">
        <v>1</v>
      </c>
      <c r="Z299" s="88">
        <v>43923.7221875</v>
      </c>
      <c r="AA299" s="88">
        <v>43923.7221875</v>
      </c>
      <c r="AB299" s="81" t="s">
        <v>1213</v>
      </c>
      <c r="AC299" s="81" t="s">
        <v>1227</v>
      </c>
      <c r="AD299" s="84" t="s">
        <v>1239</v>
      </c>
      <c r="AE299" s="82">
        <v>7</v>
      </c>
      <c r="AF299" s="83" t="str">
        <f>REPLACE(INDEX(GroupVertices[Group],MATCH(Edges[[#This Row],[Vertex 1]],GroupVertices[Vertex],0)),1,1,"")</f>
        <v>17</v>
      </c>
      <c r="AG299" s="83" t="str">
        <f>REPLACE(INDEX(GroupVertices[Group],MATCH(Edges[[#This Row],[Vertex 2]],GroupVertices[Vertex],0)),1,1,"")</f>
        <v>17</v>
      </c>
      <c r="AH299" s="111">
        <v>0</v>
      </c>
      <c r="AI299" s="112">
        <v>0</v>
      </c>
      <c r="AJ299" s="111">
        <v>0</v>
      </c>
      <c r="AK299" s="112">
        <v>0</v>
      </c>
      <c r="AL299" s="111">
        <v>0</v>
      </c>
      <c r="AM299" s="112">
        <v>0</v>
      </c>
      <c r="AN299" s="111">
        <v>27</v>
      </c>
      <c r="AO299" s="112">
        <v>100</v>
      </c>
      <c r="AP299" s="111">
        <v>27</v>
      </c>
    </row>
    <row r="300" spans="1:42" ht="15">
      <c r="A300" s="65" t="s">
        <v>353</v>
      </c>
      <c r="B300" s="65" t="s">
        <v>353</v>
      </c>
      <c r="C300" s="66" t="s">
        <v>2947</v>
      </c>
      <c r="D300" s="67">
        <v>10</v>
      </c>
      <c r="E300" s="68"/>
      <c r="F300" s="69">
        <v>15</v>
      </c>
      <c r="G300" s="66"/>
      <c r="H300" s="70"/>
      <c r="I300" s="71"/>
      <c r="J300" s="71"/>
      <c r="K300" s="35" t="s">
        <v>65</v>
      </c>
      <c r="L300" s="79">
        <v>300</v>
      </c>
      <c r="M300" s="79"/>
      <c r="N300" s="73"/>
      <c r="O300" s="81" t="s">
        <v>563</v>
      </c>
      <c r="P300" s="81" t="s">
        <v>325</v>
      </c>
      <c r="Q300" s="84" t="s">
        <v>838</v>
      </c>
      <c r="R300" s="81" t="s">
        <v>353</v>
      </c>
      <c r="S300" s="81" t="s">
        <v>866</v>
      </c>
      <c r="T300" s="86" t="str">
        <f>HYPERLINK("http://www.youtube.com/channel/UCfYrvWfah8SKHvX-fQ_oLWQ")</f>
        <v>http://www.youtube.com/channel/UCfYrvWfah8SKHvX-fQ_oLWQ</v>
      </c>
      <c r="U300" s="81"/>
      <c r="V300" s="81" t="s">
        <v>1095</v>
      </c>
      <c r="W300" s="86" t="str">
        <f>HYPERLINK("https://www.youtube.com/watch?v=o-D-Duv8Mcs")</f>
        <v>https://www.youtube.com/watch?v=o-D-Duv8Mcs</v>
      </c>
      <c r="X300" s="81" t="s">
        <v>1183</v>
      </c>
      <c r="Y300" s="81">
        <v>1</v>
      </c>
      <c r="Z300" s="88">
        <v>43923.846875</v>
      </c>
      <c r="AA300" s="88">
        <v>43923.846875</v>
      </c>
      <c r="AB300" s="81" t="s">
        <v>1214</v>
      </c>
      <c r="AC300" s="81" t="s">
        <v>1237</v>
      </c>
      <c r="AD300" s="84" t="s">
        <v>1239</v>
      </c>
      <c r="AE300" s="82">
        <v>7</v>
      </c>
      <c r="AF300" s="83" t="str">
        <f>REPLACE(INDEX(GroupVertices[Group],MATCH(Edges[[#This Row],[Vertex 1]],GroupVertices[Vertex],0)),1,1,"")</f>
        <v>17</v>
      </c>
      <c r="AG300" s="83" t="str">
        <f>REPLACE(INDEX(GroupVertices[Group],MATCH(Edges[[#This Row],[Vertex 2]],GroupVertices[Vertex],0)),1,1,"")</f>
        <v>17</v>
      </c>
      <c r="AH300" s="111">
        <v>1</v>
      </c>
      <c r="AI300" s="112">
        <v>4.166666666666667</v>
      </c>
      <c r="AJ300" s="111">
        <v>0</v>
      </c>
      <c r="AK300" s="112">
        <v>0</v>
      </c>
      <c r="AL300" s="111">
        <v>0</v>
      </c>
      <c r="AM300" s="112">
        <v>0</v>
      </c>
      <c r="AN300" s="111">
        <v>23</v>
      </c>
      <c r="AO300" s="112">
        <v>95.83333333333333</v>
      </c>
      <c r="AP300" s="111">
        <v>24</v>
      </c>
    </row>
    <row r="301" spans="1:42" ht="15">
      <c r="A301" s="65" t="s">
        <v>353</v>
      </c>
      <c r="B301" s="65" t="s">
        <v>353</v>
      </c>
      <c r="C301" s="66" t="s">
        <v>2947</v>
      </c>
      <c r="D301" s="67">
        <v>10</v>
      </c>
      <c r="E301" s="68"/>
      <c r="F301" s="69">
        <v>15</v>
      </c>
      <c r="G301" s="66"/>
      <c r="H301" s="70"/>
      <c r="I301" s="71"/>
      <c r="J301" s="71"/>
      <c r="K301" s="35" t="s">
        <v>65</v>
      </c>
      <c r="L301" s="79">
        <v>301</v>
      </c>
      <c r="M301" s="79"/>
      <c r="N301" s="73"/>
      <c r="O301" s="81" t="s">
        <v>563</v>
      </c>
      <c r="P301" s="81" t="s">
        <v>325</v>
      </c>
      <c r="Q301" s="84" t="s">
        <v>839</v>
      </c>
      <c r="R301" s="81" t="s">
        <v>353</v>
      </c>
      <c r="S301" s="81" t="s">
        <v>866</v>
      </c>
      <c r="T301" s="86" t="str">
        <f>HYPERLINK("http://www.youtube.com/channel/UCfYrvWfah8SKHvX-fQ_oLWQ")</f>
        <v>http://www.youtube.com/channel/UCfYrvWfah8SKHvX-fQ_oLWQ</v>
      </c>
      <c r="U301" s="81"/>
      <c r="V301" s="81" t="s">
        <v>1095</v>
      </c>
      <c r="W301" s="86" t="str">
        <f>HYPERLINK("https://www.youtube.com/watch?v=o-D-Duv8Mcs")</f>
        <v>https://www.youtube.com/watch?v=o-D-Duv8Mcs</v>
      </c>
      <c r="X301" s="81" t="s">
        <v>1183</v>
      </c>
      <c r="Y301" s="81">
        <v>3</v>
      </c>
      <c r="Z301" s="88">
        <v>43924.4662962963</v>
      </c>
      <c r="AA301" s="88">
        <v>43924.4662962963</v>
      </c>
      <c r="AB301" s="81"/>
      <c r="AC301" s="81"/>
      <c r="AD301" s="84" t="s">
        <v>1239</v>
      </c>
      <c r="AE301" s="82">
        <v>7</v>
      </c>
      <c r="AF301" s="83" t="str">
        <f>REPLACE(INDEX(GroupVertices[Group],MATCH(Edges[[#This Row],[Vertex 1]],GroupVertices[Vertex],0)),1,1,"")</f>
        <v>17</v>
      </c>
      <c r="AG301" s="83" t="str">
        <f>REPLACE(INDEX(GroupVertices[Group],MATCH(Edges[[#This Row],[Vertex 2]],GroupVertices[Vertex],0)),1,1,"")</f>
        <v>17</v>
      </c>
      <c r="AH301" s="111">
        <v>0</v>
      </c>
      <c r="AI301" s="112">
        <v>0</v>
      </c>
      <c r="AJ301" s="111">
        <v>1</v>
      </c>
      <c r="AK301" s="112">
        <v>4.761904761904762</v>
      </c>
      <c r="AL301" s="111">
        <v>0</v>
      </c>
      <c r="AM301" s="112">
        <v>0</v>
      </c>
      <c r="AN301" s="111">
        <v>20</v>
      </c>
      <c r="AO301" s="112">
        <v>95.23809523809524</v>
      </c>
      <c r="AP301" s="111">
        <v>21</v>
      </c>
    </row>
    <row r="302" spans="1:42" ht="15">
      <c r="A302" s="65" t="s">
        <v>353</v>
      </c>
      <c r="B302" s="65" t="s">
        <v>353</v>
      </c>
      <c r="C302" s="66" t="s">
        <v>2947</v>
      </c>
      <c r="D302" s="67">
        <v>10</v>
      </c>
      <c r="E302" s="68"/>
      <c r="F302" s="69">
        <v>15</v>
      </c>
      <c r="G302" s="66"/>
      <c r="H302" s="70"/>
      <c r="I302" s="71"/>
      <c r="J302" s="71"/>
      <c r="K302" s="35" t="s">
        <v>65</v>
      </c>
      <c r="L302" s="79">
        <v>302</v>
      </c>
      <c r="M302" s="79"/>
      <c r="N302" s="73"/>
      <c r="O302" s="81" t="s">
        <v>565</v>
      </c>
      <c r="P302" s="81"/>
      <c r="Q302" s="81"/>
      <c r="R302" s="81"/>
      <c r="S302" s="81"/>
      <c r="T302" s="81"/>
      <c r="U302" s="81"/>
      <c r="V302" s="81" t="s">
        <v>1095</v>
      </c>
      <c r="W302" s="86" t="str">
        <f>HYPERLINK("https://www.youtube.com/watch?v=o-D-Duv8Mcs")</f>
        <v>https://www.youtube.com/watch?v=o-D-Duv8Mcs</v>
      </c>
      <c r="X302" s="81"/>
      <c r="Y302" s="81"/>
      <c r="Z302" s="88">
        <v>43923.70427083333</v>
      </c>
      <c r="AA302" s="81"/>
      <c r="AB302" s="81"/>
      <c r="AC302" s="81"/>
      <c r="AD302" s="81"/>
      <c r="AE302">
        <v>7</v>
      </c>
      <c r="AF302" s="80" t="str">
        <f>REPLACE(INDEX(GroupVertices[Group],MATCH(Edges[[#This Row],[Vertex 1]],GroupVertices[Vertex],0)),1,1,"")</f>
        <v>17</v>
      </c>
      <c r="AG302" s="80" t="str">
        <f>REPLACE(INDEX(GroupVertices[Group],MATCH(Edges[[#This Row],[Vertex 2]],GroupVertices[Vertex],0)),1,1,"")</f>
        <v>17</v>
      </c>
      <c r="AH302" s="49"/>
      <c r="AI302" s="50"/>
      <c r="AJ302" s="49"/>
      <c r="AK302" s="50"/>
      <c r="AL302" s="49"/>
      <c r="AM302" s="50"/>
      <c r="AN302" s="49"/>
      <c r="AO302" s="50"/>
      <c r="AP302" s="49"/>
    </row>
    <row r="303" spans="1:42" ht="15">
      <c r="A303" s="65" t="s">
        <v>450</v>
      </c>
      <c r="B303" s="65" t="s">
        <v>358</v>
      </c>
      <c r="C303" s="66" t="s">
        <v>2942</v>
      </c>
      <c r="D303" s="67">
        <v>3</v>
      </c>
      <c r="E303" s="68"/>
      <c r="F303" s="69">
        <v>40</v>
      </c>
      <c r="G303" s="66"/>
      <c r="H303" s="70"/>
      <c r="I303" s="71"/>
      <c r="J303" s="71"/>
      <c r="K303" s="35" t="s">
        <v>65</v>
      </c>
      <c r="L303" s="79">
        <v>303</v>
      </c>
      <c r="M303" s="79"/>
      <c r="N303" s="73"/>
      <c r="O303" s="81" t="s">
        <v>563</v>
      </c>
      <c r="P303" s="81" t="s">
        <v>325</v>
      </c>
      <c r="Q303" s="84" t="s">
        <v>840</v>
      </c>
      <c r="R303" s="81" t="s">
        <v>450</v>
      </c>
      <c r="S303" s="81" t="s">
        <v>963</v>
      </c>
      <c r="T303" s="86" t="str">
        <f>HYPERLINK("http://www.youtube.com/channel/UCOQy7XDYjkjhb0QwVMwf-7A")</f>
        <v>http://www.youtube.com/channel/UCOQy7XDYjkjhb0QwVMwf-7A</v>
      </c>
      <c r="U303" s="81"/>
      <c r="V303" s="81" t="s">
        <v>1096</v>
      </c>
      <c r="W303" s="86" t="str">
        <f>HYPERLINK("https://www.youtube.com/watch?v=39yXz72qdow")</f>
        <v>https://www.youtube.com/watch?v=39yXz72qdow</v>
      </c>
      <c r="X303" s="81" t="s">
        <v>1183</v>
      </c>
      <c r="Y303" s="81">
        <v>0</v>
      </c>
      <c r="Z303" s="88">
        <v>41004.85256944445</v>
      </c>
      <c r="AA303" s="88">
        <v>41004.85256944445</v>
      </c>
      <c r="AB303" s="81"/>
      <c r="AC303" s="81"/>
      <c r="AD303" s="84" t="s">
        <v>1239</v>
      </c>
      <c r="AE303" s="82">
        <v>1</v>
      </c>
      <c r="AF303" s="83" t="str">
        <f>REPLACE(INDEX(GroupVertices[Group],MATCH(Edges[[#This Row],[Vertex 1]],GroupVertices[Vertex],0)),1,1,"")</f>
        <v>6</v>
      </c>
      <c r="AG303" s="83" t="str">
        <f>REPLACE(INDEX(GroupVertices[Group],MATCH(Edges[[#This Row],[Vertex 2]],GroupVertices[Vertex],0)),1,1,"")</f>
        <v>9</v>
      </c>
      <c r="AH303" s="111">
        <v>4</v>
      </c>
      <c r="AI303" s="112">
        <v>5.128205128205129</v>
      </c>
      <c r="AJ303" s="111">
        <v>0</v>
      </c>
      <c r="AK303" s="112">
        <v>0</v>
      </c>
      <c r="AL303" s="111">
        <v>0</v>
      </c>
      <c r="AM303" s="112">
        <v>0</v>
      </c>
      <c r="AN303" s="111">
        <v>74</v>
      </c>
      <c r="AO303" s="112">
        <v>94.87179487179488</v>
      </c>
      <c r="AP303" s="111">
        <v>78</v>
      </c>
    </row>
    <row r="304" spans="1:42" ht="15">
      <c r="A304" s="65" t="s">
        <v>358</v>
      </c>
      <c r="B304" s="65" t="s">
        <v>358</v>
      </c>
      <c r="C304" s="66" t="s">
        <v>2942</v>
      </c>
      <c r="D304" s="67">
        <v>3</v>
      </c>
      <c r="E304" s="68"/>
      <c r="F304" s="69">
        <v>40</v>
      </c>
      <c r="G304" s="66"/>
      <c r="H304" s="70"/>
      <c r="I304" s="71"/>
      <c r="J304" s="71"/>
      <c r="K304" s="35" t="s">
        <v>65</v>
      </c>
      <c r="L304" s="79">
        <v>304</v>
      </c>
      <c r="M304" s="79"/>
      <c r="N304" s="73"/>
      <c r="O304" s="81" t="s">
        <v>565</v>
      </c>
      <c r="P304" s="81"/>
      <c r="Q304" s="81"/>
      <c r="R304" s="81"/>
      <c r="S304" s="81"/>
      <c r="T304" s="81"/>
      <c r="U304" s="81"/>
      <c r="V304" s="81" t="s">
        <v>1096</v>
      </c>
      <c r="W304" s="86" t="str">
        <f>HYPERLINK("https://www.youtube.com/watch?v=39yXz72qdow")</f>
        <v>https://www.youtube.com/watch?v=39yXz72qdow</v>
      </c>
      <c r="X304" s="81"/>
      <c r="Y304" s="81"/>
      <c r="Z304" s="88">
        <v>41004.665983796294</v>
      </c>
      <c r="AA304" s="81"/>
      <c r="AB304" s="81"/>
      <c r="AC304" s="81"/>
      <c r="AD304" s="81"/>
      <c r="AE304">
        <v>1</v>
      </c>
      <c r="AF304" s="80" t="str">
        <f>REPLACE(INDEX(GroupVertices[Group],MATCH(Edges[[#This Row],[Vertex 1]],GroupVertices[Vertex],0)),1,1,"")</f>
        <v>9</v>
      </c>
      <c r="AG304" s="80" t="str">
        <f>REPLACE(INDEX(GroupVertices[Group],MATCH(Edges[[#This Row],[Vertex 2]],GroupVertices[Vertex],0)),1,1,"")</f>
        <v>9</v>
      </c>
      <c r="AH304" s="49"/>
      <c r="AI304" s="50"/>
      <c r="AJ304" s="49"/>
      <c r="AK304" s="50"/>
      <c r="AL304" s="49"/>
      <c r="AM304" s="50"/>
      <c r="AN304" s="49"/>
      <c r="AO304" s="50"/>
      <c r="AP304" s="49"/>
    </row>
    <row r="305" spans="1:42" ht="15">
      <c r="A305" s="65" t="s">
        <v>534</v>
      </c>
      <c r="B305" s="65" t="s">
        <v>534</v>
      </c>
      <c r="C305" s="66" t="s">
        <v>2942</v>
      </c>
      <c r="D305" s="67">
        <v>3</v>
      </c>
      <c r="E305" s="68"/>
      <c r="F305" s="69">
        <v>40</v>
      </c>
      <c r="G305" s="66"/>
      <c r="H305" s="70"/>
      <c r="I305" s="71"/>
      <c r="J305" s="71"/>
      <c r="K305" s="35" t="s">
        <v>65</v>
      </c>
      <c r="L305" s="79">
        <v>305</v>
      </c>
      <c r="M305" s="79"/>
      <c r="N305" s="73"/>
      <c r="O305" s="81" t="s">
        <v>565</v>
      </c>
      <c r="P305" s="81"/>
      <c r="Q305" s="81"/>
      <c r="R305" s="81"/>
      <c r="S305" s="81"/>
      <c r="T305" s="81"/>
      <c r="U305" s="81"/>
      <c r="V305" s="81" t="s">
        <v>1145</v>
      </c>
      <c r="W305" s="86" t="str">
        <f>HYPERLINK("https://www.youtube.com/watch?v=PbYZl4BZjJ8")</f>
        <v>https://www.youtube.com/watch?v=PbYZl4BZjJ8</v>
      </c>
      <c r="X305" s="81"/>
      <c r="Y305" s="81"/>
      <c r="Z305" s="88">
        <v>41585.53822916667</v>
      </c>
      <c r="AA305" s="81"/>
      <c r="AB305" s="81"/>
      <c r="AC305" s="81"/>
      <c r="AD305" s="81"/>
      <c r="AE305">
        <v>1</v>
      </c>
      <c r="AF305" s="80" t="str">
        <f>REPLACE(INDEX(GroupVertices[Group],MATCH(Edges[[#This Row],[Vertex 1]],GroupVertices[Vertex],0)),1,1,"")</f>
        <v>2</v>
      </c>
      <c r="AG305" s="80" t="str">
        <f>REPLACE(INDEX(GroupVertices[Group],MATCH(Edges[[#This Row],[Vertex 2]],GroupVertices[Vertex],0)),1,1,"")</f>
        <v>2</v>
      </c>
      <c r="AH305" s="49"/>
      <c r="AI305" s="50"/>
      <c r="AJ305" s="49"/>
      <c r="AK305" s="50"/>
      <c r="AL305" s="49"/>
      <c r="AM305" s="50"/>
      <c r="AN305" s="49"/>
      <c r="AO305" s="50"/>
      <c r="AP305" s="49"/>
    </row>
    <row r="306" spans="1:42" ht="15">
      <c r="A306" s="65" t="s">
        <v>535</v>
      </c>
      <c r="B306" s="65" t="s">
        <v>535</v>
      </c>
      <c r="C306" s="66" t="s">
        <v>2942</v>
      </c>
      <c r="D306" s="67">
        <v>3</v>
      </c>
      <c r="E306" s="68"/>
      <c r="F306" s="69">
        <v>40</v>
      </c>
      <c r="G306" s="66"/>
      <c r="H306" s="70"/>
      <c r="I306" s="71"/>
      <c r="J306" s="71"/>
      <c r="K306" s="35" t="s">
        <v>65</v>
      </c>
      <c r="L306" s="79">
        <v>306</v>
      </c>
      <c r="M306" s="79"/>
      <c r="N306" s="73"/>
      <c r="O306" s="81" t="s">
        <v>565</v>
      </c>
      <c r="P306" s="81"/>
      <c r="Q306" s="81"/>
      <c r="R306" s="81"/>
      <c r="S306" s="81"/>
      <c r="T306" s="81"/>
      <c r="U306" s="81"/>
      <c r="V306" s="81" t="s">
        <v>1146</v>
      </c>
      <c r="W306" s="86" t="str">
        <f>HYPERLINK("https://www.youtube.com/watch?v=6syIwTVbrt0")</f>
        <v>https://www.youtube.com/watch?v=6syIwTVbrt0</v>
      </c>
      <c r="X306" s="81"/>
      <c r="Y306" s="81"/>
      <c r="Z306" s="88">
        <v>42916.066087962965</v>
      </c>
      <c r="AA306" s="81"/>
      <c r="AB306" s="81"/>
      <c r="AC306" s="81"/>
      <c r="AD306" s="81"/>
      <c r="AE306">
        <v>1</v>
      </c>
      <c r="AF306" s="80" t="str">
        <f>REPLACE(INDEX(GroupVertices[Group],MATCH(Edges[[#This Row],[Vertex 1]],GroupVertices[Vertex],0)),1,1,"")</f>
        <v>2</v>
      </c>
      <c r="AG306" s="80" t="str">
        <f>REPLACE(INDEX(GroupVertices[Group],MATCH(Edges[[#This Row],[Vertex 2]],GroupVertices[Vertex],0)),1,1,"")</f>
        <v>2</v>
      </c>
      <c r="AH306" s="49"/>
      <c r="AI306" s="50"/>
      <c r="AJ306" s="49"/>
      <c r="AK306" s="50"/>
      <c r="AL306" s="49"/>
      <c r="AM306" s="50"/>
      <c r="AN306" s="49"/>
      <c r="AO306" s="50"/>
      <c r="AP306" s="49"/>
    </row>
    <row r="307" spans="1:42" ht="15">
      <c r="A307" s="65" t="s">
        <v>536</v>
      </c>
      <c r="B307" s="65" t="s">
        <v>536</v>
      </c>
      <c r="C307" s="66" t="s">
        <v>2942</v>
      </c>
      <c r="D307" s="67">
        <v>3</v>
      </c>
      <c r="E307" s="68"/>
      <c r="F307" s="69">
        <v>40</v>
      </c>
      <c r="G307" s="66"/>
      <c r="H307" s="70"/>
      <c r="I307" s="71"/>
      <c r="J307" s="71"/>
      <c r="K307" s="35" t="s">
        <v>65</v>
      </c>
      <c r="L307" s="79">
        <v>307</v>
      </c>
      <c r="M307" s="79"/>
      <c r="N307" s="73"/>
      <c r="O307" s="81" t="s">
        <v>565</v>
      </c>
      <c r="P307" s="81"/>
      <c r="Q307" s="81"/>
      <c r="R307" s="81"/>
      <c r="S307" s="81"/>
      <c r="T307" s="81"/>
      <c r="U307" s="81"/>
      <c r="V307" s="81" t="s">
        <v>1098</v>
      </c>
      <c r="W307" s="86" t="str">
        <f>HYPERLINK("https://www.youtube.com/watch?v=hVfI1U7uHR4")</f>
        <v>https://www.youtube.com/watch?v=hVfI1U7uHR4</v>
      </c>
      <c r="X307" s="81"/>
      <c r="Y307" s="81"/>
      <c r="Z307" s="88">
        <v>43226.8975</v>
      </c>
      <c r="AA307" s="81"/>
      <c r="AB307" s="81"/>
      <c r="AC307" s="81"/>
      <c r="AD307" s="81"/>
      <c r="AE307">
        <v>1</v>
      </c>
      <c r="AF307" s="80" t="str">
        <f>REPLACE(INDEX(GroupVertices[Group],MATCH(Edges[[#This Row],[Vertex 1]],GroupVertices[Vertex],0)),1,1,"")</f>
        <v>13</v>
      </c>
      <c r="AG307" s="80" t="str">
        <f>REPLACE(INDEX(GroupVertices[Group],MATCH(Edges[[#This Row],[Vertex 2]],GroupVertices[Vertex],0)),1,1,"")</f>
        <v>13</v>
      </c>
      <c r="AH307" s="49"/>
      <c r="AI307" s="50"/>
      <c r="AJ307" s="49"/>
      <c r="AK307" s="50"/>
      <c r="AL307" s="49"/>
      <c r="AM307" s="50"/>
      <c r="AN307" s="49"/>
      <c r="AO307" s="50"/>
      <c r="AP307" s="49"/>
    </row>
    <row r="308" spans="1:42" ht="15">
      <c r="A308" s="65" t="s">
        <v>537</v>
      </c>
      <c r="B308" s="65" t="s">
        <v>537</v>
      </c>
      <c r="C308" s="66" t="s">
        <v>2943</v>
      </c>
      <c r="D308" s="67">
        <v>4.4</v>
      </c>
      <c r="E308" s="68"/>
      <c r="F308" s="69">
        <v>35</v>
      </c>
      <c r="G308" s="66"/>
      <c r="H308" s="70"/>
      <c r="I308" s="71"/>
      <c r="J308" s="71"/>
      <c r="K308" s="35" t="s">
        <v>65</v>
      </c>
      <c r="L308" s="79">
        <v>308</v>
      </c>
      <c r="M308" s="79"/>
      <c r="N308" s="73"/>
      <c r="O308" s="81" t="s">
        <v>563</v>
      </c>
      <c r="P308" s="81" t="s">
        <v>325</v>
      </c>
      <c r="Q308" s="84" t="s">
        <v>841</v>
      </c>
      <c r="R308" s="81" t="s">
        <v>537</v>
      </c>
      <c r="S308" s="81" t="s">
        <v>1032</v>
      </c>
      <c r="T308" s="86" t="str">
        <f>HYPERLINK("http://www.youtube.com/channel/UCcBoleECTMUEbXqg2AZNHdg")</f>
        <v>http://www.youtube.com/channel/UCcBoleECTMUEbXqg2AZNHdg</v>
      </c>
      <c r="U308" s="81"/>
      <c r="V308" s="81" t="s">
        <v>1147</v>
      </c>
      <c r="W308" s="86" t="str">
        <f>HYPERLINK("https://www.youtube.com/watch?v=4joYD7ye-R0")</f>
        <v>https://www.youtube.com/watch?v=4joYD7ye-R0</v>
      </c>
      <c r="X308" s="81" t="s">
        <v>1183</v>
      </c>
      <c r="Y308" s="81">
        <v>0</v>
      </c>
      <c r="Z308" s="88">
        <v>42213.09746527778</v>
      </c>
      <c r="AA308" s="88">
        <v>42213.09746527778</v>
      </c>
      <c r="AB308" s="81"/>
      <c r="AC308" s="81"/>
      <c r="AD308" s="84" t="s">
        <v>1239</v>
      </c>
      <c r="AE308" s="82">
        <v>2</v>
      </c>
      <c r="AF308" s="83" t="str">
        <f>REPLACE(INDEX(GroupVertices[Group],MATCH(Edges[[#This Row],[Vertex 1]],GroupVertices[Vertex],0)),1,1,"")</f>
        <v>2</v>
      </c>
      <c r="AG308" s="83" t="str">
        <f>REPLACE(INDEX(GroupVertices[Group],MATCH(Edges[[#This Row],[Vertex 2]],GroupVertices[Vertex],0)),1,1,"")</f>
        <v>2</v>
      </c>
      <c r="AH308" s="111">
        <v>0</v>
      </c>
      <c r="AI308" s="112">
        <v>0</v>
      </c>
      <c r="AJ308" s="111">
        <v>0</v>
      </c>
      <c r="AK308" s="112">
        <v>0</v>
      </c>
      <c r="AL308" s="111">
        <v>0</v>
      </c>
      <c r="AM308" s="112">
        <v>0</v>
      </c>
      <c r="AN308" s="111">
        <v>21</v>
      </c>
      <c r="AO308" s="112">
        <v>100</v>
      </c>
      <c r="AP308" s="111">
        <v>21</v>
      </c>
    </row>
    <row r="309" spans="1:42" ht="15">
      <c r="A309" s="65" t="s">
        <v>537</v>
      </c>
      <c r="B309" s="65" t="s">
        <v>537</v>
      </c>
      <c r="C309" s="66" t="s">
        <v>2943</v>
      </c>
      <c r="D309" s="67">
        <v>4.4</v>
      </c>
      <c r="E309" s="68"/>
      <c r="F309" s="69">
        <v>35</v>
      </c>
      <c r="G309" s="66"/>
      <c r="H309" s="70"/>
      <c r="I309" s="71"/>
      <c r="J309" s="71"/>
      <c r="K309" s="35" t="s">
        <v>65</v>
      </c>
      <c r="L309" s="79">
        <v>309</v>
      </c>
      <c r="M309" s="79"/>
      <c r="N309" s="73"/>
      <c r="O309" s="81" t="s">
        <v>565</v>
      </c>
      <c r="P309" s="81"/>
      <c r="Q309" s="81"/>
      <c r="R309" s="81"/>
      <c r="S309" s="81"/>
      <c r="T309" s="81"/>
      <c r="U309" s="81"/>
      <c r="V309" s="81" t="s">
        <v>1147</v>
      </c>
      <c r="W309" s="86" t="str">
        <f>HYPERLINK("https://www.youtube.com/watch?v=4joYD7ye-R0")</f>
        <v>https://www.youtube.com/watch?v=4joYD7ye-R0</v>
      </c>
      <c r="X309" s="81"/>
      <c r="Y309" s="81"/>
      <c r="Z309" s="88">
        <v>42213.0952662037</v>
      </c>
      <c r="AA309" s="81"/>
      <c r="AB309" s="81"/>
      <c r="AC309" s="81"/>
      <c r="AD309" s="81"/>
      <c r="AE309">
        <v>2</v>
      </c>
      <c r="AF309" s="80" t="str">
        <f>REPLACE(INDEX(GroupVertices[Group],MATCH(Edges[[#This Row],[Vertex 1]],GroupVertices[Vertex],0)),1,1,"")</f>
        <v>2</v>
      </c>
      <c r="AG309" s="80" t="str">
        <f>REPLACE(INDEX(GroupVertices[Group],MATCH(Edges[[#This Row],[Vertex 2]],GroupVertices[Vertex],0)),1,1,"")</f>
        <v>2</v>
      </c>
      <c r="AH309" s="49"/>
      <c r="AI309" s="50"/>
      <c r="AJ309" s="49"/>
      <c r="AK309" s="50"/>
      <c r="AL309" s="49"/>
      <c r="AM309" s="50"/>
      <c r="AN309" s="49"/>
      <c r="AO309" s="50"/>
      <c r="AP309" s="49"/>
    </row>
    <row r="310" spans="1:42" ht="15">
      <c r="A310" s="65" t="s">
        <v>351</v>
      </c>
      <c r="B310" s="65" t="s">
        <v>351</v>
      </c>
      <c r="C310" s="66" t="s">
        <v>2944</v>
      </c>
      <c r="D310" s="67">
        <v>5.8</v>
      </c>
      <c r="E310" s="68"/>
      <c r="F310" s="69">
        <v>30</v>
      </c>
      <c r="G310" s="66"/>
      <c r="H310" s="70"/>
      <c r="I310" s="71"/>
      <c r="J310" s="71"/>
      <c r="K310" s="35" t="s">
        <v>65</v>
      </c>
      <c r="L310" s="79">
        <v>310</v>
      </c>
      <c r="M310" s="79"/>
      <c r="N310" s="73"/>
      <c r="O310" s="81" t="s">
        <v>563</v>
      </c>
      <c r="P310" s="81" t="s">
        <v>325</v>
      </c>
      <c r="Q310" s="84" t="s">
        <v>842</v>
      </c>
      <c r="R310" s="81" t="s">
        <v>351</v>
      </c>
      <c r="S310" s="81" t="s">
        <v>864</v>
      </c>
      <c r="T310" s="86" t="str">
        <f>HYPERLINK("http://www.youtube.com/channel/UCT2t7sQp0Qyi9dxuckjOWAw")</f>
        <v>http://www.youtube.com/channel/UCT2t7sQp0Qyi9dxuckjOWAw</v>
      </c>
      <c r="U310" s="81"/>
      <c r="V310" s="81" t="s">
        <v>1148</v>
      </c>
      <c r="W310" s="86" t="str">
        <f>HYPERLINK("https://www.youtube.com/watch?v=ETE3foyjx_E")</f>
        <v>https://www.youtube.com/watch?v=ETE3foyjx_E</v>
      </c>
      <c r="X310" s="81" t="s">
        <v>1183</v>
      </c>
      <c r="Y310" s="81">
        <v>0</v>
      </c>
      <c r="Z310" s="88">
        <v>43764.70290509259</v>
      </c>
      <c r="AA310" s="88">
        <v>43764.70290509259</v>
      </c>
      <c r="AB310" s="81" t="s">
        <v>1215</v>
      </c>
      <c r="AC310" s="81" t="s">
        <v>1235</v>
      </c>
      <c r="AD310" s="84" t="s">
        <v>1239</v>
      </c>
      <c r="AE310" s="82">
        <v>3</v>
      </c>
      <c r="AF310" s="83" t="str">
        <f>REPLACE(INDEX(GroupVertices[Group],MATCH(Edges[[#This Row],[Vertex 1]],GroupVertices[Vertex],0)),1,1,"")</f>
        <v>4</v>
      </c>
      <c r="AG310" s="83" t="str">
        <f>REPLACE(INDEX(GroupVertices[Group],MATCH(Edges[[#This Row],[Vertex 2]],GroupVertices[Vertex],0)),1,1,"")</f>
        <v>4</v>
      </c>
      <c r="AH310" s="111">
        <v>0</v>
      </c>
      <c r="AI310" s="112">
        <v>0</v>
      </c>
      <c r="AJ310" s="111">
        <v>0</v>
      </c>
      <c r="AK310" s="112">
        <v>0</v>
      </c>
      <c r="AL310" s="111">
        <v>0</v>
      </c>
      <c r="AM310" s="112">
        <v>0</v>
      </c>
      <c r="AN310" s="111">
        <v>29</v>
      </c>
      <c r="AO310" s="112">
        <v>100</v>
      </c>
      <c r="AP310" s="111">
        <v>29</v>
      </c>
    </row>
    <row r="311" spans="1:42" ht="15">
      <c r="A311" s="65" t="s">
        <v>351</v>
      </c>
      <c r="B311" s="65" t="s">
        <v>351</v>
      </c>
      <c r="C311" s="66" t="s">
        <v>2944</v>
      </c>
      <c r="D311" s="67">
        <v>5.8</v>
      </c>
      <c r="E311" s="68"/>
      <c r="F311" s="69">
        <v>30</v>
      </c>
      <c r="G311" s="66"/>
      <c r="H311" s="70"/>
      <c r="I311" s="71"/>
      <c r="J311" s="71"/>
      <c r="K311" s="35" t="s">
        <v>65</v>
      </c>
      <c r="L311" s="79">
        <v>311</v>
      </c>
      <c r="M311" s="79"/>
      <c r="N311" s="73"/>
      <c r="O311" s="81" t="s">
        <v>565</v>
      </c>
      <c r="P311" s="81"/>
      <c r="Q311" s="81"/>
      <c r="R311" s="81"/>
      <c r="S311" s="81"/>
      <c r="T311" s="81"/>
      <c r="U311" s="81"/>
      <c r="V311" s="81" t="s">
        <v>1094</v>
      </c>
      <c r="W311" s="86" t="str">
        <f>HYPERLINK("https://www.youtube.com/watch?v=3s6qbWY07FI")</f>
        <v>https://www.youtube.com/watch?v=3s6qbWY07FI</v>
      </c>
      <c r="X311" s="81"/>
      <c r="Y311" s="81"/>
      <c r="Z311" s="88">
        <v>43971.31354166667</v>
      </c>
      <c r="AA311" s="81"/>
      <c r="AB311" s="81"/>
      <c r="AC311" s="81"/>
      <c r="AD311" s="81"/>
      <c r="AE311">
        <v>3</v>
      </c>
      <c r="AF311" s="80" t="str">
        <f>REPLACE(INDEX(GroupVertices[Group],MATCH(Edges[[#This Row],[Vertex 1]],GroupVertices[Vertex],0)),1,1,"")</f>
        <v>4</v>
      </c>
      <c r="AG311" s="80" t="str">
        <f>REPLACE(INDEX(GroupVertices[Group],MATCH(Edges[[#This Row],[Vertex 2]],GroupVertices[Vertex],0)),1,1,"")</f>
        <v>4</v>
      </c>
      <c r="AH311" s="49"/>
      <c r="AI311" s="50"/>
      <c r="AJ311" s="49"/>
      <c r="AK311" s="50"/>
      <c r="AL311" s="49"/>
      <c r="AM311" s="50"/>
      <c r="AN311" s="49"/>
      <c r="AO311" s="50"/>
      <c r="AP311" s="49"/>
    </row>
    <row r="312" spans="1:42" ht="15">
      <c r="A312" s="65" t="s">
        <v>351</v>
      </c>
      <c r="B312" s="65" t="s">
        <v>351</v>
      </c>
      <c r="C312" s="66" t="s">
        <v>2944</v>
      </c>
      <c r="D312" s="67">
        <v>5.8</v>
      </c>
      <c r="E312" s="68"/>
      <c r="F312" s="69">
        <v>30</v>
      </c>
      <c r="G312" s="66"/>
      <c r="H312" s="70"/>
      <c r="I312" s="71"/>
      <c r="J312" s="71"/>
      <c r="K312" s="35" t="s">
        <v>65</v>
      </c>
      <c r="L312" s="79">
        <v>312</v>
      </c>
      <c r="M312" s="79"/>
      <c r="N312" s="73"/>
      <c r="O312" s="81" t="s">
        <v>565</v>
      </c>
      <c r="P312" s="81"/>
      <c r="Q312" s="81"/>
      <c r="R312" s="81"/>
      <c r="S312" s="81"/>
      <c r="T312" s="81"/>
      <c r="U312" s="81"/>
      <c r="V312" s="81" t="s">
        <v>1148</v>
      </c>
      <c r="W312" s="86" t="str">
        <f>HYPERLINK("https://www.youtube.com/watch?v=ETE3foyjx_E")</f>
        <v>https://www.youtube.com/watch?v=ETE3foyjx_E</v>
      </c>
      <c r="X312" s="81"/>
      <c r="Y312" s="81"/>
      <c r="Z312" s="88">
        <v>43765.46471064815</v>
      </c>
      <c r="AA312" s="81"/>
      <c r="AB312" s="81"/>
      <c r="AC312" s="81"/>
      <c r="AD312" s="81"/>
      <c r="AE312">
        <v>3</v>
      </c>
      <c r="AF312" s="80" t="str">
        <f>REPLACE(INDEX(GroupVertices[Group],MATCH(Edges[[#This Row],[Vertex 1]],GroupVertices[Vertex],0)),1,1,"")</f>
        <v>4</v>
      </c>
      <c r="AG312" s="80" t="str">
        <f>REPLACE(INDEX(GroupVertices[Group],MATCH(Edges[[#This Row],[Vertex 2]],GroupVertices[Vertex],0)),1,1,"")</f>
        <v>4</v>
      </c>
      <c r="AH312" s="49"/>
      <c r="AI312" s="50"/>
      <c r="AJ312" s="49"/>
      <c r="AK312" s="50"/>
      <c r="AL312" s="49"/>
      <c r="AM312" s="50"/>
      <c r="AN312" s="49"/>
      <c r="AO312" s="50"/>
      <c r="AP312" s="49"/>
    </row>
    <row r="313" spans="1:42" ht="15">
      <c r="A313" s="65" t="s">
        <v>538</v>
      </c>
      <c r="B313" s="65" t="s">
        <v>538</v>
      </c>
      <c r="C313" s="66" t="s">
        <v>2946</v>
      </c>
      <c r="D313" s="67">
        <v>10</v>
      </c>
      <c r="E313" s="68"/>
      <c r="F313" s="69">
        <v>15</v>
      </c>
      <c r="G313" s="66"/>
      <c r="H313" s="70"/>
      <c r="I313" s="71"/>
      <c r="J313" s="71"/>
      <c r="K313" s="35" t="s">
        <v>65</v>
      </c>
      <c r="L313" s="79">
        <v>313</v>
      </c>
      <c r="M313" s="79"/>
      <c r="N313" s="73"/>
      <c r="O313" s="81" t="s">
        <v>565</v>
      </c>
      <c r="P313" s="81"/>
      <c r="Q313" s="81"/>
      <c r="R313" s="81"/>
      <c r="S313" s="81"/>
      <c r="T313" s="81"/>
      <c r="U313" s="81"/>
      <c r="V313" s="81" t="s">
        <v>1149</v>
      </c>
      <c r="W313" s="86" t="str">
        <f>HYPERLINK("https://www.youtube.com/watch?v=IUlPHNXUDFI")</f>
        <v>https://www.youtube.com/watch?v=IUlPHNXUDFI</v>
      </c>
      <c r="X313" s="81"/>
      <c r="Y313" s="81"/>
      <c r="Z313" s="88">
        <v>41883.77269675926</v>
      </c>
      <c r="AA313" s="81"/>
      <c r="AB313" s="81"/>
      <c r="AC313" s="81"/>
      <c r="AD313" s="81"/>
      <c r="AE313">
        <v>6</v>
      </c>
      <c r="AF313" s="80" t="str">
        <f>REPLACE(INDEX(GroupVertices[Group],MATCH(Edges[[#This Row],[Vertex 1]],GroupVertices[Vertex],0)),1,1,"")</f>
        <v>2</v>
      </c>
      <c r="AG313" s="80" t="str">
        <f>REPLACE(INDEX(GroupVertices[Group],MATCH(Edges[[#This Row],[Vertex 2]],GroupVertices[Vertex],0)),1,1,"")</f>
        <v>2</v>
      </c>
      <c r="AH313" s="49"/>
      <c r="AI313" s="50"/>
      <c r="AJ313" s="49"/>
      <c r="AK313" s="50"/>
      <c r="AL313" s="49"/>
      <c r="AM313" s="50"/>
      <c r="AN313" s="49"/>
      <c r="AO313" s="50"/>
      <c r="AP313" s="49"/>
    </row>
    <row r="314" spans="1:42" ht="15">
      <c r="A314" s="65" t="s">
        <v>538</v>
      </c>
      <c r="B314" s="65" t="s">
        <v>538</v>
      </c>
      <c r="C314" s="66" t="s">
        <v>2946</v>
      </c>
      <c r="D314" s="67">
        <v>10</v>
      </c>
      <c r="E314" s="68"/>
      <c r="F314" s="69">
        <v>15</v>
      </c>
      <c r="G314" s="66"/>
      <c r="H314" s="70"/>
      <c r="I314" s="71"/>
      <c r="J314" s="71"/>
      <c r="K314" s="35" t="s">
        <v>65</v>
      </c>
      <c r="L314" s="79">
        <v>314</v>
      </c>
      <c r="M314" s="79"/>
      <c r="N314" s="73"/>
      <c r="O314" s="81" t="s">
        <v>565</v>
      </c>
      <c r="P314" s="81"/>
      <c r="Q314" s="81"/>
      <c r="R314" s="81"/>
      <c r="S314" s="81"/>
      <c r="T314" s="81"/>
      <c r="U314" s="81"/>
      <c r="V314" s="81" t="s">
        <v>1150</v>
      </c>
      <c r="W314" s="86" t="str">
        <f>HYPERLINK("https://www.youtube.com/watch?v=WoFbiZxNGt4")</f>
        <v>https://www.youtube.com/watch?v=WoFbiZxNGt4</v>
      </c>
      <c r="X314" s="81"/>
      <c r="Y314" s="81"/>
      <c r="Z314" s="88">
        <v>41861.02108796296</v>
      </c>
      <c r="AA314" s="81"/>
      <c r="AB314" s="81"/>
      <c r="AC314" s="81"/>
      <c r="AD314" s="81"/>
      <c r="AE314">
        <v>6</v>
      </c>
      <c r="AF314" s="80" t="str">
        <f>REPLACE(INDEX(GroupVertices[Group],MATCH(Edges[[#This Row],[Vertex 1]],GroupVertices[Vertex],0)),1,1,"")</f>
        <v>2</v>
      </c>
      <c r="AG314" s="80" t="str">
        <f>REPLACE(INDEX(GroupVertices[Group],MATCH(Edges[[#This Row],[Vertex 2]],GroupVertices[Vertex],0)),1,1,"")</f>
        <v>2</v>
      </c>
      <c r="AH314" s="49"/>
      <c r="AI314" s="50"/>
      <c r="AJ314" s="49"/>
      <c r="AK314" s="50"/>
      <c r="AL314" s="49"/>
      <c r="AM314" s="50"/>
      <c r="AN314" s="49"/>
      <c r="AO314" s="50"/>
      <c r="AP314" s="49"/>
    </row>
    <row r="315" spans="1:42" ht="15">
      <c r="A315" s="65" t="s">
        <v>538</v>
      </c>
      <c r="B315" s="65" t="s">
        <v>538</v>
      </c>
      <c r="C315" s="66" t="s">
        <v>2946</v>
      </c>
      <c r="D315" s="67">
        <v>10</v>
      </c>
      <c r="E315" s="68"/>
      <c r="F315" s="69">
        <v>15</v>
      </c>
      <c r="G315" s="66"/>
      <c r="H315" s="70"/>
      <c r="I315" s="71"/>
      <c r="J315" s="71"/>
      <c r="K315" s="35" t="s">
        <v>65</v>
      </c>
      <c r="L315" s="79">
        <v>315</v>
      </c>
      <c r="M315" s="79"/>
      <c r="N315" s="73"/>
      <c r="O315" s="81" t="s">
        <v>565</v>
      </c>
      <c r="P315" s="81"/>
      <c r="Q315" s="81"/>
      <c r="R315" s="81"/>
      <c r="S315" s="81"/>
      <c r="T315" s="81"/>
      <c r="U315" s="81"/>
      <c r="V315" s="81" t="s">
        <v>1151</v>
      </c>
      <c r="W315" s="86" t="str">
        <f>HYPERLINK("https://www.youtube.com/watch?v=MtpFeGA-57Y")</f>
        <v>https://www.youtube.com/watch?v=MtpFeGA-57Y</v>
      </c>
      <c r="X315" s="81"/>
      <c r="Y315" s="81"/>
      <c r="Z315" s="88">
        <v>41874.993055555555</v>
      </c>
      <c r="AA315" s="81"/>
      <c r="AB315" s="81"/>
      <c r="AC315" s="81"/>
      <c r="AD315" s="81"/>
      <c r="AE315">
        <v>6</v>
      </c>
      <c r="AF315" s="80" t="str">
        <f>REPLACE(INDEX(GroupVertices[Group],MATCH(Edges[[#This Row],[Vertex 1]],GroupVertices[Vertex],0)),1,1,"")</f>
        <v>2</v>
      </c>
      <c r="AG315" s="80" t="str">
        <f>REPLACE(INDEX(GroupVertices[Group],MATCH(Edges[[#This Row],[Vertex 2]],GroupVertices[Vertex],0)),1,1,"")</f>
        <v>2</v>
      </c>
      <c r="AH315" s="49"/>
      <c r="AI315" s="50"/>
      <c r="AJ315" s="49"/>
      <c r="AK315" s="50"/>
      <c r="AL315" s="49"/>
      <c r="AM315" s="50"/>
      <c r="AN315" s="49"/>
      <c r="AO315" s="50"/>
      <c r="AP315" s="49"/>
    </row>
    <row r="316" spans="1:42" ht="15">
      <c r="A316" s="65" t="s">
        <v>538</v>
      </c>
      <c r="B316" s="65" t="s">
        <v>538</v>
      </c>
      <c r="C316" s="66" t="s">
        <v>2946</v>
      </c>
      <c r="D316" s="67">
        <v>10</v>
      </c>
      <c r="E316" s="68"/>
      <c r="F316" s="69">
        <v>15</v>
      </c>
      <c r="G316" s="66"/>
      <c r="H316" s="70"/>
      <c r="I316" s="71"/>
      <c r="J316" s="71"/>
      <c r="K316" s="35" t="s">
        <v>65</v>
      </c>
      <c r="L316" s="79">
        <v>316</v>
      </c>
      <c r="M316" s="79"/>
      <c r="N316" s="73"/>
      <c r="O316" s="81" t="s">
        <v>565</v>
      </c>
      <c r="P316" s="81"/>
      <c r="Q316" s="81"/>
      <c r="R316" s="81"/>
      <c r="S316" s="81"/>
      <c r="T316" s="81"/>
      <c r="U316" s="81"/>
      <c r="V316" s="81" t="s">
        <v>1152</v>
      </c>
      <c r="W316" s="86" t="str">
        <f>HYPERLINK("https://www.youtube.com/watch?v=zg1s4bF59Ss")</f>
        <v>https://www.youtube.com/watch?v=zg1s4bF59Ss</v>
      </c>
      <c r="X316" s="81"/>
      <c r="Y316" s="81"/>
      <c r="Z316" s="88">
        <v>41853.90180555556</v>
      </c>
      <c r="AA316" s="81"/>
      <c r="AB316" s="81"/>
      <c r="AC316" s="81"/>
      <c r="AD316" s="81"/>
      <c r="AE316">
        <v>6</v>
      </c>
      <c r="AF316" s="80" t="str">
        <f>REPLACE(INDEX(GroupVertices[Group],MATCH(Edges[[#This Row],[Vertex 1]],GroupVertices[Vertex],0)),1,1,"")</f>
        <v>2</v>
      </c>
      <c r="AG316" s="80" t="str">
        <f>REPLACE(INDEX(GroupVertices[Group],MATCH(Edges[[#This Row],[Vertex 2]],GroupVertices[Vertex],0)),1,1,"")</f>
        <v>2</v>
      </c>
      <c r="AH316" s="49"/>
      <c r="AI316" s="50"/>
      <c r="AJ316" s="49"/>
      <c r="AK316" s="50"/>
      <c r="AL316" s="49"/>
      <c r="AM316" s="50"/>
      <c r="AN316" s="49"/>
      <c r="AO316" s="50"/>
      <c r="AP316" s="49"/>
    </row>
    <row r="317" spans="1:42" ht="15">
      <c r="A317" s="65" t="s">
        <v>538</v>
      </c>
      <c r="B317" s="65" t="s">
        <v>538</v>
      </c>
      <c r="C317" s="66" t="s">
        <v>2946</v>
      </c>
      <c r="D317" s="67">
        <v>10</v>
      </c>
      <c r="E317" s="68"/>
      <c r="F317" s="69">
        <v>15</v>
      </c>
      <c r="G317" s="66"/>
      <c r="H317" s="70"/>
      <c r="I317" s="71"/>
      <c r="J317" s="71"/>
      <c r="K317" s="35" t="s">
        <v>65</v>
      </c>
      <c r="L317" s="79">
        <v>317</v>
      </c>
      <c r="M317" s="79"/>
      <c r="N317" s="73"/>
      <c r="O317" s="81" t="s">
        <v>565</v>
      </c>
      <c r="P317" s="81"/>
      <c r="Q317" s="81"/>
      <c r="R317" s="81"/>
      <c r="S317" s="81"/>
      <c r="T317" s="81"/>
      <c r="U317" s="81"/>
      <c r="V317" s="81" t="s">
        <v>1153</v>
      </c>
      <c r="W317" s="86" t="str">
        <f>HYPERLINK("https://www.youtube.com/watch?v=gYfi-UXg0RE")</f>
        <v>https://www.youtube.com/watch?v=gYfi-UXg0RE</v>
      </c>
      <c r="X317" s="81"/>
      <c r="Y317" s="81"/>
      <c r="Z317" s="88">
        <v>41931.01070601852</v>
      </c>
      <c r="AA317" s="81"/>
      <c r="AB317" s="81"/>
      <c r="AC317" s="81"/>
      <c r="AD317" s="81"/>
      <c r="AE317">
        <v>6</v>
      </c>
      <c r="AF317" s="80" t="str">
        <f>REPLACE(INDEX(GroupVertices[Group],MATCH(Edges[[#This Row],[Vertex 1]],GroupVertices[Vertex],0)),1,1,"")</f>
        <v>2</v>
      </c>
      <c r="AG317" s="80" t="str">
        <f>REPLACE(INDEX(GroupVertices[Group],MATCH(Edges[[#This Row],[Vertex 2]],GroupVertices[Vertex],0)),1,1,"")</f>
        <v>2</v>
      </c>
      <c r="AH317" s="49"/>
      <c r="AI317" s="50"/>
      <c r="AJ317" s="49"/>
      <c r="AK317" s="50"/>
      <c r="AL317" s="49"/>
      <c r="AM317" s="50"/>
      <c r="AN317" s="49"/>
      <c r="AO317" s="50"/>
      <c r="AP317" s="49"/>
    </row>
    <row r="318" spans="1:42" ht="15">
      <c r="A318" s="65" t="s">
        <v>538</v>
      </c>
      <c r="B318" s="65" t="s">
        <v>538</v>
      </c>
      <c r="C318" s="66" t="s">
        <v>2946</v>
      </c>
      <c r="D318" s="67">
        <v>10</v>
      </c>
      <c r="E318" s="68"/>
      <c r="F318" s="69">
        <v>15</v>
      </c>
      <c r="G318" s="66"/>
      <c r="H318" s="70"/>
      <c r="I318" s="71"/>
      <c r="J318" s="71"/>
      <c r="K318" s="35" t="s">
        <v>65</v>
      </c>
      <c r="L318" s="79">
        <v>318</v>
      </c>
      <c r="M318" s="79"/>
      <c r="N318" s="73"/>
      <c r="O318" s="81" t="s">
        <v>565</v>
      </c>
      <c r="P318" s="81"/>
      <c r="Q318" s="81"/>
      <c r="R318" s="81"/>
      <c r="S318" s="81"/>
      <c r="T318" s="81"/>
      <c r="U318" s="81"/>
      <c r="V318" s="81" t="s">
        <v>1154</v>
      </c>
      <c r="W318" s="86" t="str">
        <f>HYPERLINK("https://www.youtube.com/watch?v=BYS8gVQMH7I")</f>
        <v>https://www.youtube.com/watch?v=BYS8gVQMH7I</v>
      </c>
      <c r="X318" s="81"/>
      <c r="Y318" s="81"/>
      <c r="Z318" s="88">
        <v>41889.209502314814</v>
      </c>
      <c r="AA318" s="81"/>
      <c r="AB318" s="81"/>
      <c r="AC318" s="81"/>
      <c r="AD318" s="81"/>
      <c r="AE318">
        <v>6</v>
      </c>
      <c r="AF318" s="80" t="str">
        <f>REPLACE(INDEX(GroupVertices[Group],MATCH(Edges[[#This Row],[Vertex 1]],GroupVertices[Vertex],0)),1,1,"")</f>
        <v>2</v>
      </c>
      <c r="AG318" s="80" t="str">
        <f>REPLACE(INDEX(GroupVertices[Group],MATCH(Edges[[#This Row],[Vertex 2]],GroupVertices[Vertex],0)),1,1,"")</f>
        <v>2</v>
      </c>
      <c r="AH318" s="49"/>
      <c r="AI318" s="50"/>
      <c r="AJ318" s="49"/>
      <c r="AK318" s="50"/>
      <c r="AL318" s="49"/>
      <c r="AM318" s="50"/>
      <c r="AN318" s="49"/>
      <c r="AO318" s="50"/>
      <c r="AP318" s="49"/>
    </row>
    <row r="319" spans="1:42" ht="15">
      <c r="A319" s="65" t="s">
        <v>450</v>
      </c>
      <c r="B319" s="65" t="s">
        <v>539</v>
      </c>
      <c r="C319" s="66" t="s">
        <v>2942</v>
      </c>
      <c r="D319" s="67">
        <v>3</v>
      </c>
      <c r="E319" s="68"/>
      <c r="F319" s="69">
        <v>40</v>
      </c>
      <c r="G319" s="66"/>
      <c r="H319" s="70"/>
      <c r="I319" s="71"/>
      <c r="J319" s="71"/>
      <c r="K319" s="35" t="s">
        <v>65</v>
      </c>
      <c r="L319" s="79">
        <v>319</v>
      </c>
      <c r="M319" s="79"/>
      <c r="N319" s="73"/>
      <c r="O319" s="81" t="s">
        <v>563</v>
      </c>
      <c r="P319" s="81" t="s">
        <v>325</v>
      </c>
      <c r="Q319" s="84" t="s">
        <v>843</v>
      </c>
      <c r="R319" s="81" t="s">
        <v>450</v>
      </c>
      <c r="S319" s="81" t="s">
        <v>963</v>
      </c>
      <c r="T319" s="86" t="str">
        <f>HYPERLINK("http://www.youtube.com/channel/UCOQy7XDYjkjhb0QwVMwf-7A")</f>
        <v>http://www.youtube.com/channel/UCOQy7XDYjkjhb0QwVMwf-7A</v>
      </c>
      <c r="U319" s="81"/>
      <c r="V319" s="81" t="s">
        <v>1155</v>
      </c>
      <c r="W319" s="86" t="str">
        <f>HYPERLINK("https://www.youtube.com/watch?v=yMCTnhBUpOg")</f>
        <v>https://www.youtube.com/watch?v=yMCTnhBUpOg</v>
      </c>
      <c r="X319" s="81" t="s">
        <v>1183</v>
      </c>
      <c r="Y319" s="81">
        <v>0</v>
      </c>
      <c r="Z319" s="88">
        <v>42585.780636574076</v>
      </c>
      <c r="AA319" s="88">
        <v>42585.780636574076</v>
      </c>
      <c r="AB319" s="81"/>
      <c r="AC319" s="81"/>
      <c r="AD319" s="84" t="s">
        <v>1239</v>
      </c>
      <c r="AE319" s="82">
        <v>1</v>
      </c>
      <c r="AF319" s="83" t="str">
        <f>REPLACE(INDEX(GroupVertices[Group],MATCH(Edges[[#This Row],[Vertex 1]],GroupVertices[Vertex],0)),1,1,"")</f>
        <v>6</v>
      </c>
      <c r="AG319" s="83" t="str">
        <f>REPLACE(INDEX(GroupVertices[Group],MATCH(Edges[[#This Row],[Vertex 2]],GroupVertices[Vertex],0)),1,1,"")</f>
        <v>6</v>
      </c>
      <c r="AH319" s="111">
        <v>0</v>
      </c>
      <c r="AI319" s="112">
        <v>0</v>
      </c>
      <c r="AJ319" s="111">
        <v>0</v>
      </c>
      <c r="AK319" s="112">
        <v>0</v>
      </c>
      <c r="AL319" s="111">
        <v>0</v>
      </c>
      <c r="AM319" s="112">
        <v>0</v>
      </c>
      <c r="AN319" s="111">
        <v>11</v>
      </c>
      <c r="AO319" s="112">
        <v>100</v>
      </c>
      <c r="AP319" s="111">
        <v>11</v>
      </c>
    </row>
    <row r="320" spans="1:42" ht="15">
      <c r="A320" s="65" t="s">
        <v>539</v>
      </c>
      <c r="B320" s="65" t="s">
        <v>539</v>
      </c>
      <c r="C320" s="66" t="s">
        <v>2943</v>
      </c>
      <c r="D320" s="67">
        <v>4.4</v>
      </c>
      <c r="E320" s="68"/>
      <c r="F320" s="69">
        <v>35</v>
      </c>
      <c r="G320" s="66"/>
      <c r="H320" s="70"/>
      <c r="I320" s="71"/>
      <c r="J320" s="71"/>
      <c r="K320" s="35" t="s">
        <v>65</v>
      </c>
      <c r="L320" s="79">
        <v>320</v>
      </c>
      <c r="M320" s="79"/>
      <c r="N320" s="73"/>
      <c r="O320" s="81" t="s">
        <v>565</v>
      </c>
      <c r="P320" s="81"/>
      <c r="Q320" s="81"/>
      <c r="R320" s="81"/>
      <c r="S320" s="81"/>
      <c r="T320" s="81"/>
      <c r="U320" s="81"/>
      <c r="V320" s="81" t="s">
        <v>1155</v>
      </c>
      <c r="W320" s="86" t="str">
        <f>HYPERLINK("https://www.youtube.com/watch?v=yMCTnhBUpOg")</f>
        <v>https://www.youtube.com/watch?v=yMCTnhBUpOg</v>
      </c>
      <c r="X320" s="81"/>
      <c r="Y320" s="81"/>
      <c r="Z320" s="88">
        <v>42585.71538194444</v>
      </c>
      <c r="AA320" s="81"/>
      <c r="AB320" s="81"/>
      <c r="AC320" s="81"/>
      <c r="AD320" s="81"/>
      <c r="AE320">
        <v>2</v>
      </c>
      <c r="AF320" s="80" t="str">
        <f>REPLACE(INDEX(GroupVertices[Group],MATCH(Edges[[#This Row],[Vertex 1]],GroupVertices[Vertex],0)),1,1,"")</f>
        <v>6</v>
      </c>
      <c r="AG320" s="80" t="str">
        <f>REPLACE(INDEX(GroupVertices[Group],MATCH(Edges[[#This Row],[Vertex 2]],GroupVertices[Vertex],0)),1,1,"")</f>
        <v>6</v>
      </c>
      <c r="AH320" s="49"/>
      <c r="AI320" s="50"/>
      <c r="AJ320" s="49"/>
      <c r="AK320" s="50"/>
      <c r="AL320" s="49"/>
      <c r="AM320" s="50"/>
      <c r="AN320" s="49"/>
      <c r="AO320" s="50"/>
      <c r="AP320" s="49"/>
    </row>
    <row r="321" spans="1:42" ht="15">
      <c r="A321" s="65" t="s">
        <v>539</v>
      </c>
      <c r="B321" s="65" t="s">
        <v>539</v>
      </c>
      <c r="C321" s="66" t="s">
        <v>2943</v>
      </c>
      <c r="D321" s="67">
        <v>4.4</v>
      </c>
      <c r="E321" s="68"/>
      <c r="F321" s="69">
        <v>35</v>
      </c>
      <c r="G321" s="66"/>
      <c r="H321" s="70"/>
      <c r="I321" s="71"/>
      <c r="J321" s="71"/>
      <c r="K321" s="35" t="s">
        <v>65</v>
      </c>
      <c r="L321" s="79">
        <v>321</v>
      </c>
      <c r="M321" s="79"/>
      <c r="N321" s="73"/>
      <c r="O321" s="81" t="s">
        <v>565</v>
      </c>
      <c r="P321" s="81"/>
      <c r="Q321" s="81"/>
      <c r="R321" s="81"/>
      <c r="S321" s="81"/>
      <c r="T321" s="81"/>
      <c r="U321" s="81"/>
      <c r="V321" s="81" t="s">
        <v>1156</v>
      </c>
      <c r="W321" s="86" t="str">
        <f>HYPERLINK("https://www.youtube.com/watch?v=jBXGN265uPI")</f>
        <v>https://www.youtube.com/watch?v=jBXGN265uPI</v>
      </c>
      <c r="X321" s="81"/>
      <c r="Y321" s="81"/>
      <c r="Z321" s="88">
        <v>42593.91232638889</v>
      </c>
      <c r="AA321" s="81"/>
      <c r="AB321" s="81"/>
      <c r="AC321" s="81"/>
      <c r="AD321" s="81"/>
      <c r="AE321">
        <v>2</v>
      </c>
      <c r="AF321" s="80" t="str">
        <f>REPLACE(INDEX(GroupVertices[Group],MATCH(Edges[[#This Row],[Vertex 1]],GroupVertices[Vertex],0)),1,1,"")</f>
        <v>6</v>
      </c>
      <c r="AG321" s="80" t="str">
        <f>REPLACE(INDEX(GroupVertices[Group],MATCH(Edges[[#This Row],[Vertex 2]],GroupVertices[Vertex],0)),1,1,"")</f>
        <v>6</v>
      </c>
      <c r="AH321" s="49"/>
      <c r="AI321" s="50"/>
      <c r="AJ321" s="49"/>
      <c r="AK321" s="50"/>
      <c r="AL321" s="49"/>
      <c r="AM321" s="50"/>
      <c r="AN321" s="49"/>
      <c r="AO321" s="50"/>
      <c r="AP321" s="49"/>
    </row>
    <row r="322" spans="1:42" ht="15">
      <c r="A322" s="65" t="s">
        <v>540</v>
      </c>
      <c r="B322" s="65" t="s">
        <v>540</v>
      </c>
      <c r="C322" s="66" t="s">
        <v>2942</v>
      </c>
      <c r="D322" s="67">
        <v>3</v>
      </c>
      <c r="E322" s="68"/>
      <c r="F322" s="69">
        <v>40</v>
      </c>
      <c r="G322" s="66"/>
      <c r="H322" s="70"/>
      <c r="I322" s="71"/>
      <c r="J322" s="71"/>
      <c r="K322" s="35" t="s">
        <v>65</v>
      </c>
      <c r="L322" s="79">
        <v>322</v>
      </c>
      <c r="M322" s="79"/>
      <c r="N322" s="73"/>
      <c r="O322" s="81" t="s">
        <v>565</v>
      </c>
      <c r="P322" s="81"/>
      <c r="Q322" s="81"/>
      <c r="R322" s="81"/>
      <c r="S322" s="81"/>
      <c r="T322" s="81"/>
      <c r="U322" s="81"/>
      <c r="V322" s="81" t="s">
        <v>1157</v>
      </c>
      <c r="W322" s="86" t="str">
        <f>HYPERLINK("https://www.youtube.com/watch?v=_LzT3A2_wDA")</f>
        <v>https://www.youtube.com/watch?v=_LzT3A2_wDA</v>
      </c>
      <c r="X322" s="81"/>
      <c r="Y322" s="81"/>
      <c r="Z322" s="88">
        <v>42126.15991898148</v>
      </c>
      <c r="AA322" s="81"/>
      <c r="AB322" s="81"/>
      <c r="AC322" s="81"/>
      <c r="AD322" s="81"/>
      <c r="AE322">
        <v>1</v>
      </c>
      <c r="AF322" s="80" t="str">
        <f>REPLACE(INDEX(GroupVertices[Group],MATCH(Edges[[#This Row],[Vertex 1]],GroupVertices[Vertex],0)),1,1,"")</f>
        <v>2</v>
      </c>
      <c r="AG322" s="80" t="str">
        <f>REPLACE(INDEX(GroupVertices[Group],MATCH(Edges[[#This Row],[Vertex 2]],GroupVertices[Vertex],0)),1,1,"")</f>
        <v>2</v>
      </c>
      <c r="AH322" s="49"/>
      <c r="AI322" s="50"/>
      <c r="AJ322" s="49"/>
      <c r="AK322" s="50"/>
      <c r="AL322" s="49"/>
      <c r="AM322" s="50"/>
      <c r="AN322" s="49"/>
      <c r="AO322" s="50"/>
      <c r="AP322" s="49"/>
    </row>
    <row r="323" spans="1:42" ht="15">
      <c r="A323" s="65" t="s">
        <v>541</v>
      </c>
      <c r="B323" s="65" t="s">
        <v>541</v>
      </c>
      <c r="C323" s="66" t="s">
        <v>2942</v>
      </c>
      <c r="D323" s="67">
        <v>3</v>
      </c>
      <c r="E323" s="68"/>
      <c r="F323" s="69">
        <v>40</v>
      </c>
      <c r="G323" s="66"/>
      <c r="H323" s="70"/>
      <c r="I323" s="71"/>
      <c r="J323" s="71"/>
      <c r="K323" s="35" t="s">
        <v>65</v>
      </c>
      <c r="L323" s="79">
        <v>323</v>
      </c>
      <c r="M323" s="79"/>
      <c r="N323" s="73"/>
      <c r="O323" s="81" t="s">
        <v>565</v>
      </c>
      <c r="P323" s="81"/>
      <c r="Q323" s="81"/>
      <c r="R323" s="81"/>
      <c r="S323" s="81"/>
      <c r="T323" s="81"/>
      <c r="U323" s="81"/>
      <c r="V323" s="81" t="s">
        <v>1158</v>
      </c>
      <c r="W323" s="86" t="str">
        <f>HYPERLINK("https://www.youtube.com/watch?v=pCYpAmk_2-Y")</f>
        <v>https://www.youtube.com/watch?v=pCYpAmk_2-Y</v>
      </c>
      <c r="X323" s="81"/>
      <c r="Y323" s="81"/>
      <c r="Z323" s="88">
        <v>41361.819074074076</v>
      </c>
      <c r="AA323" s="81"/>
      <c r="AB323" s="81"/>
      <c r="AC323" s="81"/>
      <c r="AD323" s="81"/>
      <c r="AE323">
        <v>1</v>
      </c>
      <c r="AF323" s="80" t="str">
        <f>REPLACE(INDEX(GroupVertices[Group],MATCH(Edges[[#This Row],[Vertex 1]],GroupVertices[Vertex],0)),1,1,"")</f>
        <v>2</v>
      </c>
      <c r="AG323" s="80" t="str">
        <f>REPLACE(INDEX(GroupVertices[Group],MATCH(Edges[[#This Row],[Vertex 2]],GroupVertices[Vertex],0)),1,1,"")</f>
        <v>2</v>
      </c>
      <c r="AH323" s="49"/>
      <c r="AI323" s="50"/>
      <c r="AJ323" s="49"/>
      <c r="AK323" s="50"/>
      <c r="AL323" s="49"/>
      <c r="AM323" s="50"/>
      <c r="AN323" s="49"/>
      <c r="AO323" s="50"/>
      <c r="AP323" s="49"/>
    </row>
    <row r="324" spans="1:42" ht="15">
      <c r="A324" s="65" t="s">
        <v>542</v>
      </c>
      <c r="B324" s="65" t="s">
        <v>542</v>
      </c>
      <c r="C324" s="66" t="s">
        <v>2943</v>
      </c>
      <c r="D324" s="67">
        <v>4.4</v>
      </c>
      <c r="E324" s="68"/>
      <c r="F324" s="69">
        <v>35</v>
      </c>
      <c r="G324" s="66"/>
      <c r="H324" s="70"/>
      <c r="I324" s="71"/>
      <c r="J324" s="71"/>
      <c r="K324" s="35" t="s">
        <v>65</v>
      </c>
      <c r="L324" s="79">
        <v>324</v>
      </c>
      <c r="M324" s="79"/>
      <c r="N324" s="73"/>
      <c r="O324" s="81" t="s">
        <v>563</v>
      </c>
      <c r="P324" s="81" t="s">
        <v>325</v>
      </c>
      <c r="Q324" s="84" t="s">
        <v>844</v>
      </c>
      <c r="R324" s="81" t="s">
        <v>542</v>
      </c>
      <c r="S324" s="81" t="s">
        <v>1033</v>
      </c>
      <c r="T324" s="86" t="str">
        <f>HYPERLINK("http://www.youtube.com/channel/UCRZps3dH47Yd7pj8LmS7vmg")</f>
        <v>http://www.youtube.com/channel/UCRZps3dH47Yd7pj8LmS7vmg</v>
      </c>
      <c r="U324" s="81"/>
      <c r="V324" s="81" t="s">
        <v>1100</v>
      </c>
      <c r="W324" s="86" t="str">
        <f>HYPERLINK("https://www.youtube.com/watch?v=x9IzmOWAlnA")</f>
        <v>https://www.youtube.com/watch?v=x9IzmOWAlnA</v>
      </c>
      <c r="X324" s="81" t="s">
        <v>1183</v>
      </c>
      <c r="Y324" s="81">
        <v>0</v>
      </c>
      <c r="Z324" s="88">
        <v>44518.50592592593</v>
      </c>
      <c r="AA324" s="88">
        <v>44518.50592592593</v>
      </c>
      <c r="AB324" s="81" t="s">
        <v>1216</v>
      </c>
      <c r="AC324" s="81" t="s">
        <v>1238</v>
      </c>
      <c r="AD324" s="84" t="s">
        <v>1239</v>
      </c>
      <c r="AE324" s="82">
        <v>2</v>
      </c>
      <c r="AF324" s="83" t="str">
        <f>REPLACE(INDEX(GroupVertices[Group],MATCH(Edges[[#This Row],[Vertex 1]],GroupVertices[Vertex],0)),1,1,"")</f>
        <v>21</v>
      </c>
      <c r="AG324" s="83" t="str">
        <f>REPLACE(INDEX(GroupVertices[Group],MATCH(Edges[[#This Row],[Vertex 2]],GroupVertices[Vertex],0)),1,1,"")</f>
        <v>21</v>
      </c>
      <c r="AH324" s="111">
        <v>0</v>
      </c>
      <c r="AI324" s="112">
        <v>0</v>
      </c>
      <c r="AJ324" s="111">
        <v>0</v>
      </c>
      <c r="AK324" s="112">
        <v>0</v>
      </c>
      <c r="AL324" s="111">
        <v>0</v>
      </c>
      <c r="AM324" s="112">
        <v>0</v>
      </c>
      <c r="AN324" s="111">
        <v>57</v>
      </c>
      <c r="AO324" s="112">
        <v>100</v>
      </c>
      <c r="AP324" s="111">
        <v>57</v>
      </c>
    </row>
    <row r="325" spans="1:42" ht="15">
      <c r="A325" s="65" t="s">
        <v>542</v>
      </c>
      <c r="B325" s="65" t="s">
        <v>542</v>
      </c>
      <c r="C325" s="66" t="s">
        <v>2943</v>
      </c>
      <c r="D325" s="67">
        <v>4.4</v>
      </c>
      <c r="E325" s="68"/>
      <c r="F325" s="69">
        <v>35</v>
      </c>
      <c r="G325" s="66"/>
      <c r="H325" s="70"/>
      <c r="I325" s="71"/>
      <c r="J325" s="71"/>
      <c r="K325" s="35" t="s">
        <v>65</v>
      </c>
      <c r="L325" s="79">
        <v>325</v>
      </c>
      <c r="M325" s="79"/>
      <c r="N325" s="73"/>
      <c r="O325" s="81" t="s">
        <v>565</v>
      </c>
      <c r="P325" s="81"/>
      <c r="Q325" s="81"/>
      <c r="R325" s="81"/>
      <c r="S325" s="81"/>
      <c r="T325" s="81"/>
      <c r="U325" s="81"/>
      <c r="V325" s="81" t="s">
        <v>1100</v>
      </c>
      <c r="W325" s="86" t="str">
        <f>HYPERLINK("https://www.youtube.com/watch?v=x9IzmOWAlnA")</f>
        <v>https://www.youtube.com/watch?v=x9IzmOWAlnA</v>
      </c>
      <c r="X325" s="81"/>
      <c r="Y325" s="81"/>
      <c r="Z325" s="88">
        <v>42382.638391203705</v>
      </c>
      <c r="AA325" s="81"/>
      <c r="AB325" s="81"/>
      <c r="AC325" s="81"/>
      <c r="AD325" s="81"/>
      <c r="AE325">
        <v>2</v>
      </c>
      <c r="AF325" s="80" t="str">
        <f>REPLACE(INDEX(GroupVertices[Group],MATCH(Edges[[#This Row],[Vertex 1]],GroupVertices[Vertex],0)),1,1,"")</f>
        <v>21</v>
      </c>
      <c r="AG325" s="80" t="str">
        <f>REPLACE(INDEX(GroupVertices[Group],MATCH(Edges[[#This Row],[Vertex 2]],GroupVertices[Vertex],0)),1,1,"")</f>
        <v>21</v>
      </c>
      <c r="AH325" s="49"/>
      <c r="AI325" s="50"/>
      <c r="AJ325" s="49"/>
      <c r="AK325" s="50"/>
      <c r="AL325" s="49"/>
      <c r="AM325" s="50"/>
      <c r="AN325" s="49"/>
      <c r="AO325" s="50"/>
      <c r="AP325" s="49"/>
    </row>
    <row r="326" spans="1:42" ht="15">
      <c r="A326" s="65" t="s">
        <v>543</v>
      </c>
      <c r="B326" s="65" t="s">
        <v>543</v>
      </c>
      <c r="C326" s="66" t="s">
        <v>2942</v>
      </c>
      <c r="D326" s="67">
        <v>3</v>
      </c>
      <c r="E326" s="68"/>
      <c r="F326" s="69">
        <v>40</v>
      </c>
      <c r="G326" s="66"/>
      <c r="H326" s="70"/>
      <c r="I326" s="71"/>
      <c r="J326" s="71"/>
      <c r="K326" s="35" t="s">
        <v>65</v>
      </c>
      <c r="L326" s="79">
        <v>326</v>
      </c>
      <c r="M326" s="79"/>
      <c r="N326" s="73"/>
      <c r="O326" s="81" t="s">
        <v>565</v>
      </c>
      <c r="P326" s="81"/>
      <c r="Q326" s="81"/>
      <c r="R326" s="81"/>
      <c r="S326" s="81"/>
      <c r="T326" s="81"/>
      <c r="U326" s="81"/>
      <c r="V326" s="81" t="s">
        <v>1101</v>
      </c>
      <c r="W326" s="86" t="str">
        <f>HYPERLINK("https://www.youtube.com/watch?v=WHociTCrX48")</f>
        <v>https://www.youtube.com/watch?v=WHociTCrX48</v>
      </c>
      <c r="X326" s="81"/>
      <c r="Y326" s="81"/>
      <c r="Z326" s="88">
        <v>41198.31849537037</v>
      </c>
      <c r="AA326" s="81"/>
      <c r="AB326" s="81"/>
      <c r="AC326" s="81"/>
      <c r="AD326" s="81"/>
      <c r="AE326">
        <v>1</v>
      </c>
      <c r="AF326" s="80" t="str">
        <f>REPLACE(INDEX(GroupVertices[Group],MATCH(Edges[[#This Row],[Vertex 1]],GroupVertices[Vertex],0)),1,1,"")</f>
        <v>8</v>
      </c>
      <c r="AG326" s="80" t="str">
        <f>REPLACE(INDEX(GroupVertices[Group],MATCH(Edges[[#This Row],[Vertex 2]],GroupVertices[Vertex],0)),1,1,"")</f>
        <v>8</v>
      </c>
      <c r="AH326" s="49"/>
      <c r="AI326" s="50"/>
      <c r="AJ326" s="49"/>
      <c r="AK326" s="50"/>
      <c r="AL326" s="49"/>
      <c r="AM326" s="50"/>
      <c r="AN326" s="49"/>
      <c r="AO326" s="50"/>
      <c r="AP326" s="49"/>
    </row>
    <row r="327" spans="1:42" ht="15">
      <c r="A327" s="65" t="s">
        <v>544</v>
      </c>
      <c r="B327" s="65" t="s">
        <v>544</v>
      </c>
      <c r="C327" s="66" t="s">
        <v>2942</v>
      </c>
      <c r="D327" s="67">
        <v>3</v>
      </c>
      <c r="E327" s="68"/>
      <c r="F327" s="69">
        <v>40</v>
      </c>
      <c r="G327" s="66"/>
      <c r="H327" s="70"/>
      <c r="I327" s="71"/>
      <c r="J327" s="71"/>
      <c r="K327" s="35" t="s">
        <v>65</v>
      </c>
      <c r="L327" s="79">
        <v>327</v>
      </c>
      <c r="M327" s="79"/>
      <c r="N327" s="73"/>
      <c r="O327" s="81" t="s">
        <v>565</v>
      </c>
      <c r="P327" s="81"/>
      <c r="Q327" s="81"/>
      <c r="R327" s="81"/>
      <c r="S327" s="81"/>
      <c r="T327" s="81"/>
      <c r="U327" s="81"/>
      <c r="V327" s="81" t="s">
        <v>1102</v>
      </c>
      <c r="W327" s="86" t="str">
        <f>HYPERLINK("https://www.youtube.com/watch?v=aJuHtKjYySE")</f>
        <v>https://www.youtube.com/watch?v=aJuHtKjYySE</v>
      </c>
      <c r="X327" s="81"/>
      <c r="Y327" s="81"/>
      <c r="Z327" s="88">
        <v>44507.359143518515</v>
      </c>
      <c r="AA327" s="81"/>
      <c r="AB327" s="81"/>
      <c r="AC327" s="81"/>
      <c r="AD327" s="81"/>
      <c r="AE327">
        <v>1</v>
      </c>
      <c r="AF327" s="80" t="str">
        <f>REPLACE(INDEX(GroupVertices[Group],MATCH(Edges[[#This Row],[Vertex 1]],GroupVertices[Vertex],0)),1,1,"")</f>
        <v>20</v>
      </c>
      <c r="AG327" s="80" t="str">
        <f>REPLACE(INDEX(GroupVertices[Group],MATCH(Edges[[#This Row],[Vertex 2]],GroupVertices[Vertex],0)),1,1,"")</f>
        <v>20</v>
      </c>
      <c r="AH327" s="49"/>
      <c r="AI327" s="50"/>
      <c r="AJ327" s="49"/>
      <c r="AK327" s="50"/>
      <c r="AL327" s="49"/>
      <c r="AM327" s="50"/>
      <c r="AN327" s="49"/>
      <c r="AO327" s="50"/>
      <c r="AP327" s="49"/>
    </row>
    <row r="328" spans="1:42" ht="15">
      <c r="A328" s="65" t="s">
        <v>545</v>
      </c>
      <c r="B328" s="65" t="s">
        <v>545</v>
      </c>
      <c r="C328" s="66" t="s">
        <v>2945</v>
      </c>
      <c r="D328" s="67">
        <v>7.2</v>
      </c>
      <c r="E328" s="68"/>
      <c r="F328" s="69">
        <v>25</v>
      </c>
      <c r="G328" s="66"/>
      <c r="H328" s="70"/>
      <c r="I328" s="71"/>
      <c r="J328" s="71"/>
      <c r="K328" s="35" t="s">
        <v>65</v>
      </c>
      <c r="L328" s="79">
        <v>328</v>
      </c>
      <c r="M328" s="79"/>
      <c r="N328" s="73"/>
      <c r="O328" s="81" t="s">
        <v>565</v>
      </c>
      <c r="P328" s="81"/>
      <c r="Q328" s="81"/>
      <c r="R328" s="81"/>
      <c r="S328" s="81"/>
      <c r="T328" s="81"/>
      <c r="U328" s="81"/>
      <c r="V328" s="81" t="s">
        <v>1159</v>
      </c>
      <c r="W328" s="86" t="str">
        <f>HYPERLINK("https://www.youtube.com/watch?v=89xmLtfm7G4")</f>
        <v>https://www.youtube.com/watch?v=89xmLtfm7G4</v>
      </c>
      <c r="X328" s="81"/>
      <c r="Y328" s="81"/>
      <c r="Z328" s="88">
        <v>43487.91877314815</v>
      </c>
      <c r="AA328" s="81"/>
      <c r="AB328" s="81"/>
      <c r="AC328" s="81"/>
      <c r="AD328" s="81"/>
      <c r="AE328">
        <v>4</v>
      </c>
      <c r="AF328" s="80" t="str">
        <f>REPLACE(INDEX(GroupVertices[Group],MATCH(Edges[[#This Row],[Vertex 1]],GroupVertices[Vertex],0)),1,1,"")</f>
        <v>2</v>
      </c>
      <c r="AG328" s="80" t="str">
        <f>REPLACE(INDEX(GroupVertices[Group],MATCH(Edges[[#This Row],[Vertex 2]],GroupVertices[Vertex],0)),1,1,"")</f>
        <v>2</v>
      </c>
      <c r="AH328" s="49"/>
      <c r="AI328" s="50"/>
      <c r="AJ328" s="49"/>
      <c r="AK328" s="50"/>
      <c r="AL328" s="49"/>
      <c r="AM328" s="50"/>
      <c r="AN328" s="49"/>
      <c r="AO328" s="50"/>
      <c r="AP328" s="49"/>
    </row>
    <row r="329" spans="1:42" ht="15">
      <c r="A329" s="65" t="s">
        <v>545</v>
      </c>
      <c r="B329" s="65" t="s">
        <v>545</v>
      </c>
      <c r="C329" s="66" t="s">
        <v>2945</v>
      </c>
      <c r="D329" s="67">
        <v>7.2</v>
      </c>
      <c r="E329" s="68"/>
      <c r="F329" s="69">
        <v>25</v>
      </c>
      <c r="G329" s="66"/>
      <c r="H329" s="70"/>
      <c r="I329" s="71"/>
      <c r="J329" s="71"/>
      <c r="K329" s="35" t="s">
        <v>65</v>
      </c>
      <c r="L329" s="79">
        <v>329</v>
      </c>
      <c r="M329" s="79"/>
      <c r="N329" s="73"/>
      <c r="O329" s="81" t="s">
        <v>565</v>
      </c>
      <c r="P329" s="81"/>
      <c r="Q329" s="81"/>
      <c r="R329" s="81"/>
      <c r="S329" s="81"/>
      <c r="T329" s="81"/>
      <c r="U329" s="81"/>
      <c r="V329" s="81" t="s">
        <v>1160</v>
      </c>
      <c r="W329" s="86" t="str">
        <f>HYPERLINK("https://www.youtube.com/watch?v=zkOZhLTTZMU")</f>
        <v>https://www.youtube.com/watch?v=zkOZhLTTZMU</v>
      </c>
      <c r="X329" s="81"/>
      <c r="Y329" s="81"/>
      <c r="Z329" s="88">
        <v>43487.91594907407</v>
      </c>
      <c r="AA329" s="81"/>
      <c r="AB329" s="81"/>
      <c r="AC329" s="81"/>
      <c r="AD329" s="81"/>
      <c r="AE329">
        <v>4</v>
      </c>
      <c r="AF329" s="80" t="str">
        <f>REPLACE(INDEX(GroupVertices[Group],MATCH(Edges[[#This Row],[Vertex 1]],GroupVertices[Vertex],0)),1,1,"")</f>
        <v>2</v>
      </c>
      <c r="AG329" s="80" t="str">
        <f>REPLACE(INDEX(GroupVertices[Group],MATCH(Edges[[#This Row],[Vertex 2]],GroupVertices[Vertex],0)),1,1,"")</f>
        <v>2</v>
      </c>
      <c r="AH329" s="49"/>
      <c r="AI329" s="50"/>
      <c r="AJ329" s="49"/>
      <c r="AK329" s="50"/>
      <c r="AL329" s="49"/>
      <c r="AM329" s="50"/>
      <c r="AN329" s="49"/>
      <c r="AO329" s="50"/>
      <c r="AP329" s="49"/>
    </row>
    <row r="330" spans="1:42" ht="15">
      <c r="A330" s="65" t="s">
        <v>545</v>
      </c>
      <c r="B330" s="65" t="s">
        <v>545</v>
      </c>
      <c r="C330" s="66" t="s">
        <v>2945</v>
      </c>
      <c r="D330" s="67">
        <v>7.2</v>
      </c>
      <c r="E330" s="68"/>
      <c r="F330" s="69">
        <v>25</v>
      </c>
      <c r="G330" s="66"/>
      <c r="H330" s="70"/>
      <c r="I330" s="71"/>
      <c r="J330" s="71"/>
      <c r="K330" s="35" t="s">
        <v>65</v>
      </c>
      <c r="L330" s="79">
        <v>330</v>
      </c>
      <c r="M330" s="79"/>
      <c r="N330" s="73"/>
      <c r="O330" s="81" t="s">
        <v>565</v>
      </c>
      <c r="P330" s="81"/>
      <c r="Q330" s="81"/>
      <c r="R330" s="81"/>
      <c r="S330" s="81"/>
      <c r="T330" s="81"/>
      <c r="U330" s="81"/>
      <c r="V330" s="81" t="s">
        <v>1161</v>
      </c>
      <c r="W330" s="86" t="str">
        <f>HYPERLINK("https://www.youtube.com/watch?v=Udl9m3kua9Y")</f>
        <v>https://www.youtube.com/watch?v=Udl9m3kua9Y</v>
      </c>
      <c r="X330" s="81"/>
      <c r="Y330" s="81"/>
      <c r="Z330" s="88">
        <v>44262.15788194445</v>
      </c>
      <c r="AA330" s="81"/>
      <c r="AB330" s="81"/>
      <c r="AC330" s="81"/>
      <c r="AD330" s="81"/>
      <c r="AE330">
        <v>4</v>
      </c>
      <c r="AF330" s="80" t="str">
        <f>REPLACE(INDEX(GroupVertices[Group],MATCH(Edges[[#This Row],[Vertex 1]],GroupVertices[Vertex],0)),1,1,"")</f>
        <v>2</v>
      </c>
      <c r="AG330" s="80" t="str">
        <f>REPLACE(INDEX(GroupVertices[Group],MATCH(Edges[[#This Row],[Vertex 2]],GroupVertices[Vertex],0)),1,1,"")</f>
        <v>2</v>
      </c>
      <c r="AH330" s="49"/>
      <c r="AI330" s="50"/>
      <c r="AJ330" s="49"/>
      <c r="AK330" s="50"/>
      <c r="AL330" s="49"/>
      <c r="AM330" s="50"/>
      <c r="AN330" s="49"/>
      <c r="AO330" s="50"/>
      <c r="AP330" s="49"/>
    </row>
    <row r="331" spans="1:42" ht="15">
      <c r="A331" s="65" t="s">
        <v>545</v>
      </c>
      <c r="B331" s="65" t="s">
        <v>545</v>
      </c>
      <c r="C331" s="66" t="s">
        <v>2945</v>
      </c>
      <c r="D331" s="67">
        <v>7.2</v>
      </c>
      <c r="E331" s="68"/>
      <c r="F331" s="69">
        <v>25</v>
      </c>
      <c r="G331" s="66"/>
      <c r="H331" s="70"/>
      <c r="I331" s="71"/>
      <c r="J331" s="71"/>
      <c r="K331" s="35" t="s">
        <v>65</v>
      </c>
      <c r="L331" s="79">
        <v>331</v>
      </c>
      <c r="M331" s="79"/>
      <c r="N331" s="73"/>
      <c r="O331" s="81" t="s">
        <v>565</v>
      </c>
      <c r="P331" s="81"/>
      <c r="Q331" s="81"/>
      <c r="R331" s="81"/>
      <c r="S331" s="81"/>
      <c r="T331" s="81"/>
      <c r="U331" s="81"/>
      <c r="V331" s="81" t="s">
        <v>1162</v>
      </c>
      <c r="W331" s="86" t="str">
        <f>HYPERLINK("https://www.youtube.com/watch?v=kCApYWeu-kE")</f>
        <v>https://www.youtube.com/watch?v=kCApYWeu-kE</v>
      </c>
      <c r="X331" s="81"/>
      <c r="Y331" s="81"/>
      <c r="Z331" s="88">
        <v>44025.28072916667</v>
      </c>
      <c r="AA331" s="81"/>
      <c r="AB331" s="81"/>
      <c r="AC331" s="81"/>
      <c r="AD331" s="81"/>
      <c r="AE331">
        <v>4</v>
      </c>
      <c r="AF331" s="80" t="str">
        <f>REPLACE(INDEX(GroupVertices[Group],MATCH(Edges[[#This Row],[Vertex 1]],GroupVertices[Vertex],0)),1,1,"")</f>
        <v>2</v>
      </c>
      <c r="AG331" s="80" t="str">
        <f>REPLACE(INDEX(GroupVertices[Group],MATCH(Edges[[#This Row],[Vertex 2]],GroupVertices[Vertex],0)),1,1,"")</f>
        <v>2</v>
      </c>
      <c r="AH331" s="49"/>
      <c r="AI331" s="50"/>
      <c r="AJ331" s="49"/>
      <c r="AK331" s="50"/>
      <c r="AL331" s="49"/>
      <c r="AM331" s="50"/>
      <c r="AN331" s="49"/>
      <c r="AO331" s="50"/>
      <c r="AP331" s="49"/>
    </row>
    <row r="332" spans="1:42" ht="15">
      <c r="A332" s="65" t="s">
        <v>546</v>
      </c>
      <c r="B332" s="65" t="s">
        <v>546</v>
      </c>
      <c r="C332" s="66" t="s">
        <v>2942</v>
      </c>
      <c r="D332" s="67">
        <v>3</v>
      </c>
      <c r="E332" s="68"/>
      <c r="F332" s="69">
        <v>40</v>
      </c>
      <c r="G332" s="66"/>
      <c r="H332" s="70"/>
      <c r="I332" s="71"/>
      <c r="J332" s="71"/>
      <c r="K332" s="35" t="s">
        <v>65</v>
      </c>
      <c r="L332" s="79">
        <v>332</v>
      </c>
      <c r="M332" s="79"/>
      <c r="N332" s="73"/>
      <c r="O332" s="81" t="s">
        <v>565</v>
      </c>
      <c r="P332" s="81"/>
      <c r="Q332" s="81"/>
      <c r="R332" s="81"/>
      <c r="S332" s="81"/>
      <c r="T332" s="81"/>
      <c r="U332" s="81"/>
      <c r="V332" s="81" t="s">
        <v>1103</v>
      </c>
      <c r="W332" s="86" t="str">
        <f>HYPERLINK("https://www.youtube.com/watch?v=ZYLWHRa8Et4")</f>
        <v>https://www.youtube.com/watch?v=ZYLWHRa8Et4</v>
      </c>
      <c r="X332" s="81"/>
      <c r="Y332" s="81"/>
      <c r="Z332" s="88">
        <v>40764.71113425926</v>
      </c>
      <c r="AA332" s="81"/>
      <c r="AB332" s="81"/>
      <c r="AC332" s="81"/>
      <c r="AD332" s="81"/>
      <c r="AE332">
        <v>1</v>
      </c>
      <c r="AF332" s="80" t="str">
        <f>REPLACE(INDEX(GroupVertices[Group],MATCH(Edges[[#This Row],[Vertex 1]],GroupVertices[Vertex],0)),1,1,"")</f>
        <v>16</v>
      </c>
      <c r="AG332" s="80" t="str">
        <f>REPLACE(INDEX(GroupVertices[Group],MATCH(Edges[[#This Row],[Vertex 2]],GroupVertices[Vertex],0)),1,1,"")</f>
        <v>16</v>
      </c>
      <c r="AH332" s="49"/>
      <c r="AI332" s="50"/>
      <c r="AJ332" s="49"/>
      <c r="AK332" s="50"/>
      <c r="AL332" s="49"/>
      <c r="AM332" s="50"/>
      <c r="AN332" s="49"/>
      <c r="AO332" s="50"/>
      <c r="AP332" s="49"/>
    </row>
    <row r="333" spans="1:42" ht="15">
      <c r="A333" s="65" t="s">
        <v>547</v>
      </c>
      <c r="B333" s="65" t="s">
        <v>547</v>
      </c>
      <c r="C333" s="66" t="s">
        <v>2942</v>
      </c>
      <c r="D333" s="67">
        <v>3</v>
      </c>
      <c r="E333" s="68"/>
      <c r="F333" s="69">
        <v>40</v>
      </c>
      <c r="G333" s="66"/>
      <c r="H333" s="70"/>
      <c r="I333" s="71"/>
      <c r="J333" s="71"/>
      <c r="K333" s="35" t="s">
        <v>65</v>
      </c>
      <c r="L333" s="79">
        <v>333</v>
      </c>
      <c r="M333" s="79"/>
      <c r="N333" s="73"/>
      <c r="O333" s="81" t="s">
        <v>565</v>
      </c>
      <c r="P333" s="81"/>
      <c r="Q333" s="81"/>
      <c r="R333" s="81"/>
      <c r="S333" s="81"/>
      <c r="T333" s="81"/>
      <c r="U333" s="81"/>
      <c r="V333" s="81" t="s">
        <v>1163</v>
      </c>
      <c r="W333" s="86" t="str">
        <f>HYPERLINK("https://www.youtube.com/watch?v=8b-U81FWPI4")</f>
        <v>https://www.youtube.com/watch?v=8b-U81FWPI4</v>
      </c>
      <c r="X333" s="81"/>
      <c r="Y333" s="81"/>
      <c r="Z333" s="88">
        <v>43935.29789351852</v>
      </c>
      <c r="AA333" s="81"/>
      <c r="AB333" s="81"/>
      <c r="AC333" s="81"/>
      <c r="AD333" s="81"/>
      <c r="AE333">
        <v>1</v>
      </c>
      <c r="AF333" s="80" t="str">
        <f>REPLACE(INDEX(GroupVertices[Group],MATCH(Edges[[#This Row],[Vertex 1]],GroupVertices[Vertex],0)),1,1,"")</f>
        <v>2</v>
      </c>
      <c r="AG333" s="80" t="str">
        <f>REPLACE(INDEX(GroupVertices[Group],MATCH(Edges[[#This Row],[Vertex 2]],GroupVertices[Vertex],0)),1,1,"")</f>
        <v>2</v>
      </c>
      <c r="AH333" s="49"/>
      <c r="AI333" s="50"/>
      <c r="AJ333" s="49"/>
      <c r="AK333" s="50"/>
      <c r="AL333" s="49"/>
      <c r="AM333" s="50"/>
      <c r="AN333" s="49"/>
      <c r="AO333" s="50"/>
      <c r="AP333" s="49"/>
    </row>
    <row r="334" spans="1:42" ht="15">
      <c r="A334" s="65" t="s">
        <v>548</v>
      </c>
      <c r="B334" s="65" t="s">
        <v>548</v>
      </c>
      <c r="C334" s="66" t="s">
        <v>2942</v>
      </c>
      <c r="D334" s="67">
        <v>3</v>
      </c>
      <c r="E334" s="68"/>
      <c r="F334" s="69">
        <v>40</v>
      </c>
      <c r="G334" s="66"/>
      <c r="H334" s="70"/>
      <c r="I334" s="71"/>
      <c r="J334" s="71"/>
      <c r="K334" s="35" t="s">
        <v>65</v>
      </c>
      <c r="L334" s="79">
        <v>334</v>
      </c>
      <c r="M334" s="79"/>
      <c r="N334" s="73"/>
      <c r="O334" s="81" t="s">
        <v>565</v>
      </c>
      <c r="P334" s="81"/>
      <c r="Q334" s="81"/>
      <c r="R334" s="81"/>
      <c r="S334" s="81"/>
      <c r="T334" s="81"/>
      <c r="U334" s="81"/>
      <c r="V334" s="81" t="s">
        <v>1104</v>
      </c>
      <c r="W334" s="86" t="str">
        <f>HYPERLINK("https://www.youtube.com/watch?v=1VVN0ZlxXmI")</f>
        <v>https://www.youtube.com/watch?v=1VVN0ZlxXmI</v>
      </c>
      <c r="X334" s="81"/>
      <c r="Y334" s="81"/>
      <c r="Z334" s="88">
        <v>42131.26899305556</v>
      </c>
      <c r="AA334" s="81"/>
      <c r="AB334" s="81"/>
      <c r="AC334" s="81"/>
      <c r="AD334" s="81"/>
      <c r="AE334">
        <v>1</v>
      </c>
      <c r="AF334" s="80" t="str">
        <f>REPLACE(INDEX(GroupVertices[Group],MATCH(Edges[[#This Row],[Vertex 1]],GroupVertices[Vertex],0)),1,1,"")</f>
        <v>19</v>
      </c>
      <c r="AG334" s="80" t="str">
        <f>REPLACE(INDEX(GroupVertices[Group],MATCH(Edges[[#This Row],[Vertex 2]],GroupVertices[Vertex],0)),1,1,"")</f>
        <v>19</v>
      </c>
      <c r="AH334" s="49"/>
      <c r="AI334" s="50"/>
      <c r="AJ334" s="49"/>
      <c r="AK334" s="50"/>
      <c r="AL334" s="49"/>
      <c r="AM334" s="50"/>
      <c r="AN334" s="49"/>
      <c r="AO334" s="50"/>
      <c r="AP334" s="49"/>
    </row>
    <row r="335" spans="1:42" ht="15">
      <c r="A335" s="65" t="s">
        <v>549</v>
      </c>
      <c r="B335" s="65" t="s">
        <v>549</v>
      </c>
      <c r="C335" s="66" t="s">
        <v>2942</v>
      </c>
      <c r="D335" s="67">
        <v>3</v>
      </c>
      <c r="E335" s="68"/>
      <c r="F335" s="69">
        <v>40</v>
      </c>
      <c r="G335" s="66"/>
      <c r="H335" s="70"/>
      <c r="I335" s="71"/>
      <c r="J335" s="71"/>
      <c r="K335" s="35" t="s">
        <v>65</v>
      </c>
      <c r="L335" s="79">
        <v>335</v>
      </c>
      <c r="M335" s="79"/>
      <c r="N335" s="73"/>
      <c r="O335" s="81" t="s">
        <v>565</v>
      </c>
      <c r="P335" s="81"/>
      <c r="Q335" s="81"/>
      <c r="R335" s="81"/>
      <c r="S335" s="81"/>
      <c r="T335" s="81"/>
      <c r="U335" s="81"/>
      <c r="V335" s="81" t="s">
        <v>1164</v>
      </c>
      <c r="W335" s="86" t="str">
        <f>HYPERLINK("https://www.youtube.com/watch?v=Ksggp3-Grdo")</f>
        <v>https://www.youtube.com/watch?v=Ksggp3-Grdo</v>
      </c>
      <c r="X335" s="81"/>
      <c r="Y335" s="81"/>
      <c r="Z335" s="88">
        <v>42849.976539351854</v>
      </c>
      <c r="AA335" s="81"/>
      <c r="AB335" s="81"/>
      <c r="AC335" s="81"/>
      <c r="AD335" s="81"/>
      <c r="AE335">
        <v>1</v>
      </c>
      <c r="AF335" s="80" t="str">
        <f>REPLACE(INDEX(GroupVertices[Group],MATCH(Edges[[#This Row],[Vertex 1]],GroupVertices[Vertex],0)),1,1,"")</f>
        <v>2</v>
      </c>
      <c r="AG335" s="80" t="str">
        <f>REPLACE(INDEX(GroupVertices[Group],MATCH(Edges[[#This Row],[Vertex 2]],GroupVertices[Vertex],0)),1,1,"")</f>
        <v>2</v>
      </c>
      <c r="AH335" s="49"/>
      <c r="AI335" s="50"/>
      <c r="AJ335" s="49"/>
      <c r="AK335" s="50"/>
      <c r="AL335" s="49"/>
      <c r="AM335" s="50"/>
      <c r="AN335" s="49"/>
      <c r="AO335" s="50"/>
      <c r="AP335" s="49"/>
    </row>
    <row r="336" spans="1:42" ht="15">
      <c r="A336" s="65" t="s">
        <v>550</v>
      </c>
      <c r="B336" s="65" t="s">
        <v>550</v>
      </c>
      <c r="C336" s="66" t="s">
        <v>2943</v>
      </c>
      <c r="D336" s="67">
        <v>4.4</v>
      </c>
      <c r="E336" s="68"/>
      <c r="F336" s="69">
        <v>35</v>
      </c>
      <c r="G336" s="66"/>
      <c r="H336" s="70"/>
      <c r="I336" s="71"/>
      <c r="J336" s="71"/>
      <c r="K336" s="35" t="s">
        <v>65</v>
      </c>
      <c r="L336" s="79">
        <v>336</v>
      </c>
      <c r="M336" s="79"/>
      <c r="N336" s="73"/>
      <c r="O336" s="81" t="s">
        <v>565</v>
      </c>
      <c r="P336" s="81"/>
      <c r="Q336" s="81"/>
      <c r="R336" s="81"/>
      <c r="S336" s="81"/>
      <c r="T336" s="81"/>
      <c r="U336" s="81"/>
      <c r="V336" s="81" t="s">
        <v>1165</v>
      </c>
      <c r="W336" s="86" t="str">
        <f>HYPERLINK("https://www.youtube.com/watch?v=JWbyuFZSm2Y")</f>
        <v>https://www.youtube.com/watch?v=JWbyuFZSm2Y</v>
      </c>
      <c r="X336" s="81"/>
      <c r="Y336" s="81"/>
      <c r="Z336" s="88">
        <v>41620.790717592594</v>
      </c>
      <c r="AA336" s="81"/>
      <c r="AB336" s="81"/>
      <c r="AC336" s="81"/>
      <c r="AD336" s="81"/>
      <c r="AE336">
        <v>2</v>
      </c>
      <c r="AF336" s="80" t="str">
        <f>REPLACE(INDEX(GroupVertices[Group],MATCH(Edges[[#This Row],[Vertex 1]],GroupVertices[Vertex],0)),1,1,"")</f>
        <v>10</v>
      </c>
      <c r="AG336" s="80" t="str">
        <f>REPLACE(INDEX(GroupVertices[Group],MATCH(Edges[[#This Row],[Vertex 2]],GroupVertices[Vertex],0)),1,1,"")</f>
        <v>10</v>
      </c>
      <c r="AH336" s="49"/>
      <c r="AI336" s="50"/>
      <c r="AJ336" s="49"/>
      <c r="AK336" s="50"/>
      <c r="AL336" s="49"/>
      <c r="AM336" s="50"/>
      <c r="AN336" s="49"/>
      <c r="AO336" s="50"/>
      <c r="AP336" s="49"/>
    </row>
    <row r="337" spans="1:42" ht="15">
      <c r="A337" s="65" t="s">
        <v>550</v>
      </c>
      <c r="B337" s="65" t="s">
        <v>550</v>
      </c>
      <c r="C337" s="66" t="s">
        <v>2943</v>
      </c>
      <c r="D337" s="67">
        <v>4.4</v>
      </c>
      <c r="E337" s="68"/>
      <c r="F337" s="69">
        <v>35</v>
      </c>
      <c r="G337" s="66"/>
      <c r="H337" s="70"/>
      <c r="I337" s="71"/>
      <c r="J337" s="71"/>
      <c r="K337" s="35" t="s">
        <v>65</v>
      </c>
      <c r="L337" s="79">
        <v>337</v>
      </c>
      <c r="M337" s="79"/>
      <c r="N337" s="73"/>
      <c r="O337" s="81" t="s">
        <v>565</v>
      </c>
      <c r="P337" s="81"/>
      <c r="Q337" s="81"/>
      <c r="R337" s="81"/>
      <c r="S337" s="81"/>
      <c r="T337" s="81"/>
      <c r="U337" s="81"/>
      <c r="V337" s="81" t="s">
        <v>1108</v>
      </c>
      <c r="W337" s="86" t="str">
        <f>HYPERLINK("https://www.youtube.com/watch?v=tzkLBf9t7MY")</f>
        <v>https://www.youtube.com/watch?v=tzkLBf9t7MY</v>
      </c>
      <c r="X337" s="81"/>
      <c r="Y337" s="81"/>
      <c r="Z337" s="88">
        <v>41620.78015046296</v>
      </c>
      <c r="AA337" s="81"/>
      <c r="AB337" s="81"/>
      <c r="AC337" s="81"/>
      <c r="AD337" s="81"/>
      <c r="AE337">
        <v>2</v>
      </c>
      <c r="AF337" s="80" t="str">
        <f>REPLACE(INDEX(GroupVertices[Group],MATCH(Edges[[#This Row],[Vertex 1]],GroupVertices[Vertex],0)),1,1,"")</f>
        <v>10</v>
      </c>
      <c r="AG337" s="80" t="str">
        <f>REPLACE(INDEX(GroupVertices[Group],MATCH(Edges[[#This Row],[Vertex 2]],GroupVertices[Vertex],0)),1,1,"")</f>
        <v>10</v>
      </c>
      <c r="AH337" s="49"/>
      <c r="AI337" s="50"/>
      <c r="AJ337" s="49"/>
      <c r="AK337" s="50"/>
      <c r="AL337" s="49"/>
      <c r="AM337" s="50"/>
      <c r="AN337" s="49"/>
      <c r="AO337" s="50"/>
      <c r="AP337" s="49"/>
    </row>
    <row r="338" spans="1:42" ht="15">
      <c r="A338" s="65" t="s">
        <v>551</v>
      </c>
      <c r="B338" s="65" t="s">
        <v>551</v>
      </c>
      <c r="C338" s="66" t="s">
        <v>2942</v>
      </c>
      <c r="D338" s="67">
        <v>3</v>
      </c>
      <c r="E338" s="68"/>
      <c r="F338" s="69">
        <v>40</v>
      </c>
      <c r="G338" s="66"/>
      <c r="H338" s="70"/>
      <c r="I338" s="71"/>
      <c r="J338" s="71"/>
      <c r="K338" s="35" t="s">
        <v>65</v>
      </c>
      <c r="L338" s="79">
        <v>338</v>
      </c>
      <c r="M338" s="79"/>
      <c r="N338" s="73"/>
      <c r="O338" s="81" t="s">
        <v>565</v>
      </c>
      <c r="P338" s="81"/>
      <c r="Q338" s="81"/>
      <c r="R338" s="81"/>
      <c r="S338" s="81"/>
      <c r="T338" s="81"/>
      <c r="U338" s="81"/>
      <c r="V338" s="81" t="s">
        <v>1110</v>
      </c>
      <c r="W338" s="86" t="str">
        <f>HYPERLINK("https://www.youtube.com/watch?v=GYSgH1g_YQI")</f>
        <v>https://www.youtube.com/watch?v=GYSgH1g_YQI</v>
      </c>
      <c r="X338" s="81"/>
      <c r="Y338" s="81"/>
      <c r="Z338" s="88">
        <v>42627.98878472222</v>
      </c>
      <c r="AA338" s="81"/>
      <c r="AB338" s="81"/>
      <c r="AC338" s="81"/>
      <c r="AD338" s="81"/>
      <c r="AE338">
        <v>1</v>
      </c>
      <c r="AF338" s="80" t="str">
        <f>REPLACE(INDEX(GroupVertices[Group],MATCH(Edges[[#This Row],[Vertex 1]],GroupVertices[Vertex],0)),1,1,"")</f>
        <v>5</v>
      </c>
      <c r="AG338" s="80" t="str">
        <f>REPLACE(INDEX(GroupVertices[Group],MATCH(Edges[[#This Row],[Vertex 2]],GroupVertices[Vertex],0)),1,1,"")</f>
        <v>5</v>
      </c>
      <c r="AH338" s="49"/>
      <c r="AI338" s="50"/>
      <c r="AJ338" s="49"/>
      <c r="AK338" s="50"/>
      <c r="AL338" s="49"/>
      <c r="AM338" s="50"/>
      <c r="AN338" s="49"/>
      <c r="AO338" s="50"/>
      <c r="AP338" s="49"/>
    </row>
    <row r="339" spans="1:42" ht="15">
      <c r="A339" s="65" t="s">
        <v>552</v>
      </c>
      <c r="B339" s="65" t="s">
        <v>552</v>
      </c>
      <c r="C339" s="66" t="s">
        <v>2942</v>
      </c>
      <c r="D339" s="67">
        <v>3</v>
      </c>
      <c r="E339" s="68"/>
      <c r="F339" s="69">
        <v>40</v>
      </c>
      <c r="G339" s="66"/>
      <c r="H339" s="70"/>
      <c r="I339" s="71"/>
      <c r="J339" s="71"/>
      <c r="K339" s="35" t="s">
        <v>65</v>
      </c>
      <c r="L339" s="79">
        <v>339</v>
      </c>
      <c r="M339" s="79"/>
      <c r="N339" s="73"/>
      <c r="O339" s="81" t="s">
        <v>565</v>
      </c>
      <c r="P339" s="81"/>
      <c r="Q339" s="81"/>
      <c r="R339" s="81"/>
      <c r="S339" s="81"/>
      <c r="T339" s="81"/>
      <c r="U339" s="81"/>
      <c r="V339" s="81" t="s">
        <v>1113</v>
      </c>
      <c r="W339" s="86" t="str">
        <f>HYPERLINK("https://www.youtube.com/watch?v=TrCcbMEkJM0")</f>
        <v>https://www.youtube.com/watch?v=TrCcbMEkJM0</v>
      </c>
      <c r="X339" s="81"/>
      <c r="Y339" s="81"/>
      <c r="Z339" s="88">
        <v>44320.58349537037</v>
      </c>
      <c r="AA339" s="81"/>
      <c r="AB339" s="81"/>
      <c r="AC339" s="81"/>
      <c r="AD339" s="81"/>
      <c r="AE339">
        <v>1</v>
      </c>
      <c r="AF339" s="80" t="str">
        <f>REPLACE(INDEX(GroupVertices[Group],MATCH(Edges[[#This Row],[Vertex 1]],GroupVertices[Vertex],0)),1,1,"")</f>
        <v>15</v>
      </c>
      <c r="AG339" s="80" t="str">
        <f>REPLACE(INDEX(GroupVertices[Group],MATCH(Edges[[#This Row],[Vertex 2]],GroupVertices[Vertex],0)),1,1,"")</f>
        <v>15</v>
      </c>
      <c r="AH339" s="49"/>
      <c r="AI339" s="50"/>
      <c r="AJ339" s="49"/>
      <c r="AK339" s="50"/>
      <c r="AL339" s="49"/>
      <c r="AM339" s="50"/>
      <c r="AN339" s="49"/>
      <c r="AO339" s="50"/>
      <c r="AP339" s="49"/>
    </row>
    <row r="340" spans="1:42" ht="15">
      <c r="A340" s="65" t="s">
        <v>430</v>
      </c>
      <c r="B340" s="65" t="s">
        <v>430</v>
      </c>
      <c r="C340" s="66" t="s">
        <v>2948</v>
      </c>
      <c r="D340" s="67">
        <v>8.6</v>
      </c>
      <c r="E340" s="68"/>
      <c r="F340" s="69">
        <v>20</v>
      </c>
      <c r="G340" s="66"/>
      <c r="H340" s="70"/>
      <c r="I340" s="71"/>
      <c r="J340" s="71"/>
      <c r="K340" s="35" t="s">
        <v>65</v>
      </c>
      <c r="L340" s="79">
        <v>340</v>
      </c>
      <c r="M340" s="79"/>
      <c r="N340" s="73"/>
      <c r="O340" s="81" t="s">
        <v>565</v>
      </c>
      <c r="P340" s="81"/>
      <c r="Q340" s="81"/>
      <c r="R340" s="81"/>
      <c r="S340" s="81"/>
      <c r="T340" s="81"/>
      <c r="U340" s="81"/>
      <c r="V340" s="81" t="s">
        <v>1166</v>
      </c>
      <c r="W340" s="86" t="str">
        <f>HYPERLINK("https://www.youtube.com/watch?v=Cp5dejUrVUE")</f>
        <v>https://www.youtube.com/watch?v=Cp5dejUrVUE</v>
      </c>
      <c r="X340" s="81"/>
      <c r="Y340" s="81"/>
      <c r="Z340" s="88">
        <v>43148.93346064815</v>
      </c>
      <c r="AA340" s="81"/>
      <c r="AB340" s="81"/>
      <c r="AC340" s="81"/>
      <c r="AD340" s="81"/>
      <c r="AE340">
        <v>5</v>
      </c>
      <c r="AF340" s="80" t="str">
        <f>REPLACE(INDEX(GroupVertices[Group],MATCH(Edges[[#This Row],[Vertex 1]],GroupVertices[Vertex],0)),1,1,"")</f>
        <v>7</v>
      </c>
      <c r="AG340" s="80" t="str">
        <f>REPLACE(INDEX(GroupVertices[Group],MATCH(Edges[[#This Row],[Vertex 2]],GroupVertices[Vertex],0)),1,1,"")</f>
        <v>7</v>
      </c>
      <c r="AH340" s="49"/>
      <c r="AI340" s="50"/>
      <c r="AJ340" s="49"/>
      <c r="AK340" s="50"/>
      <c r="AL340" s="49"/>
      <c r="AM340" s="50"/>
      <c r="AN340" s="49"/>
      <c r="AO340" s="50"/>
      <c r="AP340" s="49"/>
    </row>
    <row r="341" spans="1:42" ht="15">
      <c r="A341" s="65" t="s">
        <v>430</v>
      </c>
      <c r="B341" s="65" t="s">
        <v>430</v>
      </c>
      <c r="C341" s="66" t="s">
        <v>2948</v>
      </c>
      <c r="D341" s="67">
        <v>8.6</v>
      </c>
      <c r="E341" s="68"/>
      <c r="F341" s="69">
        <v>20</v>
      </c>
      <c r="G341" s="66"/>
      <c r="H341" s="70"/>
      <c r="I341" s="71"/>
      <c r="J341" s="71"/>
      <c r="K341" s="35" t="s">
        <v>65</v>
      </c>
      <c r="L341" s="79">
        <v>341</v>
      </c>
      <c r="M341" s="79"/>
      <c r="N341" s="73"/>
      <c r="O341" s="81" t="s">
        <v>565</v>
      </c>
      <c r="P341" s="81"/>
      <c r="Q341" s="81"/>
      <c r="R341" s="81"/>
      <c r="S341" s="81"/>
      <c r="T341" s="81"/>
      <c r="U341" s="81"/>
      <c r="V341" s="81" t="s">
        <v>1167</v>
      </c>
      <c r="W341" s="86" t="str">
        <f>HYPERLINK("https://www.youtube.com/watch?v=GDEZBIXOz_c")</f>
        <v>https://www.youtube.com/watch?v=GDEZBIXOz_c</v>
      </c>
      <c r="X341" s="81"/>
      <c r="Y341" s="81"/>
      <c r="Z341" s="88">
        <v>42423.58553240741</v>
      </c>
      <c r="AA341" s="81"/>
      <c r="AB341" s="81"/>
      <c r="AC341" s="81"/>
      <c r="AD341" s="81"/>
      <c r="AE341">
        <v>5</v>
      </c>
      <c r="AF341" s="80" t="str">
        <f>REPLACE(INDEX(GroupVertices[Group],MATCH(Edges[[#This Row],[Vertex 1]],GroupVertices[Vertex],0)),1,1,"")</f>
        <v>7</v>
      </c>
      <c r="AG341" s="80" t="str">
        <f>REPLACE(INDEX(GroupVertices[Group],MATCH(Edges[[#This Row],[Vertex 2]],GroupVertices[Vertex],0)),1,1,"")</f>
        <v>7</v>
      </c>
      <c r="AH341" s="49"/>
      <c r="AI341" s="50"/>
      <c r="AJ341" s="49"/>
      <c r="AK341" s="50"/>
      <c r="AL341" s="49"/>
      <c r="AM341" s="50"/>
      <c r="AN341" s="49"/>
      <c r="AO341" s="50"/>
      <c r="AP341" s="49"/>
    </row>
    <row r="342" spans="1:42" ht="15">
      <c r="A342" s="65" t="s">
        <v>430</v>
      </c>
      <c r="B342" s="65" t="s">
        <v>430</v>
      </c>
      <c r="C342" s="66" t="s">
        <v>2948</v>
      </c>
      <c r="D342" s="67">
        <v>8.6</v>
      </c>
      <c r="E342" s="68"/>
      <c r="F342" s="69">
        <v>20</v>
      </c>
      <c r="G342" s="66"/>
      <c r="H342" s="70"/>
      <c r="I342" s="71"/>
      <c r="J342" s="71"/>
      <c r="K342" s="35" t="s">
        <v>65</v>
      </c>
      <c r="L342" s="79">
        <v>342</v>
      </c>
      <c r="M342" s="79"/>
      <c r="N342" s="73"/>
      <c r="O342" s="81" t="s">
        <v>565</v>
      </c>
      <c r="P342" s="81"/>
      <c r="Q342" s="81"/>
      <c r="R342" s="81"/>
      <c r="S342" s="81"/>
      <c r="T342" s="81"/>
      <c r="U342" s="81"/>
      <c r="V342" s="81" t="s">
        <v>1168</v>
      </c>
      <c r="W342" s="86" t="str">
        <f>HYPERLINK("https://www.youtube.com/watch?v=9YcbpzQ3f8I")</f>
        <v>https://www.youtube.com/watch?v=9YcbpzQ3f8I</v>
      </c>
      <c r="X342" s="81"/>
      <c r="Y342" s="81"/>
      <c r="Z342" s="88">
        <v>42082.90818287037</v>
      </c>
      <c r="AA342" s="81"/>
      <c r="AB342" s="81"/>
      <c r="AC342" s="81"/>
      <c r="AD342" s="81"/>
      <c r="AE342">
        <v>5</v>
      </c>
      <c r="AF342" s="80" t="str">
        <f>REPLACE(INDEX(GroupVertices[Group],MATCH(Edges[[#This Row],[Vertex 1]],GroupVertices[Vertex],0)),1,1,"")</f>
        <v>7</v>
      </c>
      <c r="AG342" s="80" t="str">
        <f>REPLACE(INDEX(GroupVertices[Group],MATCH(Edges[[#This Row],[Vertex 2]],GroupVertices[Vertex],0)),1,1,"")</f>
        <v>7</v>
      </c>
      <c r="AH342" s="49"/>
      <c r="AI342" s="50"/>
      <c r="AJ342" s="49"/>
      <c r="AK342" s="50"/>
      <c r="AL342" s="49"/>
      <c r="AM342" s="50"/>
      <c r="AN342" s="49"/>
      <c r="AO342" s="50"/>
      <c r="AP342" s="49"/>
    </row>
    <row r="343" spans="1:42" ht="15">
      <c r="A343" s="65" t="s">
        <v>430</v>
      </c>
      <c r="B343" s="65" t="s">
        <v>430</v>
      </c>
      <c r="C343" s="66" t="s">
        <v>2948</v>
      </c>
      <c r="D343" s="67">
        <v>8.6</v>
      </c>
      <c r="E343" s="68"/>
      <c r="F343" s="69">
        <v>20</v>
      </c>
      <c r="G343" s="66"/>
      <c r="H343" s="70"/>
      <c r="I343" s="71"/>
      <c r="J343" s="71"/>
      <c r="K343" s="35" t="s">
        <v>65</v>
      </c>
      <c r="L343" s="79">
        <v>343</v>
      </c>
      <c r="M343" s="79"/>
      <c r="N343" s="73"/>
      <c r="O343" s="81" t="s">
        <v>565</v>
      </c>
      <c r="P343" s="81"/>
      <c r="Q343" s="81"/>
      <c r="R343" s="81"/>
      <c r="S343" s="81"/>
      <c r="T343" s="81"/>
      <c r="U343" s="81"/>
      <c r="V343" s="81" t="s">
        <v>1112</v>
      </c>
      <c r="W343" s="86" t="str">
        <f>HYPERLINK("https://www.youtube.com/watch?v=yknqOhpUtzQ")</f>
        <v>https://www.youtube.com/watch?v=yknqOhpUtzQ</v>
      </c>
      <c r="X343" s="81"/>
      <c r="Y343" s="81"/>
      <c r="Z343" s="88">
        <v>42082.907789351855</v>
      </c>
      <c r="AA343" s="81"/>
      <c r="AB343" s="81"/>
      <c r="AC343" s="81"/>
      <c r="AD343" s="81"/>
      <c r="AE343">
        <v>5</v>
      </c>
      <c r="AF343" s="80" t="str">
        <f>REPLACE(INDEX(GroupVertices[Group],MATCH(Edges[[#This Row],[Vertex 1]],GroupVertices[Vertex],0)),1,1,"")</f>
        <v>7</v>
      </c>
      <c r="AG343" s="80" t="str">
        <f>REPLACE(INDEX(GroupVertices[Group],MATCH(Edges[[#This Row],[Vertex 2]],GroupVertices[Vertex],0)),1,1,"")</f>
        <v>7</v>
      </c>
      <c r="AH343" s="49"/>
      <c r="AI343" s="50"/>
      <c r="AJ343" s="49"/>
      <c r="AK343" s="50"/>
      <c r="AL343" s="49"/>
      <c r="AM343" s="50"/>
      <c r="AN343" s="49"/>
      <c r="AO343" s="50"/>
      <c r="AP343" s="49"/>
    </row>
    <row r="344" spans="1:42" ht="15">
      <c r="A344" s="65" t="s">
        <v>430</v>
      </c>
      <c r="B344" s="65" t="s">
        <v>430</v>
      </c>
      <c r="C344" s="66" t="s">
        <v>2948</v>
      </c>
      <c r="D344" s="67">
        <v>8.6</v>
      </c>
      <c r="E344" s="68"/>
      <c r="F344" s="69">
        <v>20</v>
      </c>
      <c r="G344" s="66"/>
      <c r="H344" s="70"/>
      <c r="I344" s="71"/>
      <c r="J344" s="71"/>
      <c r="K344" s="35" t="s">
        <v>65</v>
      </c>
      <c r="L344" s="79">
        <v>344</v>
      </c>
      <c r="M344" s="79"/>
      <c r="N344" s="73"/>
      <c r="O344" s="81" t="s">
        <v>565</v>
      </c>
      <c r="P344" s="81"/>
      <c r="Q344" s="81"/>
      <c r="R344" s="81"/>
      <c r="S344" s="81"/>
      <c r="T344" s="81"/>
      <c r="U344" s="81"/>
      <c r="V344" s="81" t="s">
        <v>1114</v>
      </c>
      <c r="W344" s="86" t="str">
        <f>HYPERLINK("https://www.youtube.com/watch?v=0snyC8fNhXo")</f>
        <v>https://www.youtube.com/watch?v=0snyC8fNhXo</v>
      </c>
      <c r="X344" s="81"/>
      <c r="Y344" s="81"/>
      <c r="Z344" s="88">
        <v>42082.907314814816</v>
      </c>
      <c r="AA344" s="81"/>
      <c r="AB344" s="81"/>
      <c r="AC344" s="81"/>
      <c r="AD344" s="81"/>
      <c r="AE344">
        <v>5</v>
      </c>
      <c r="AF344" s="80" t="str">
        <f>REPLACE(INDEX(GroupVertices[Group],MATCH(Edges[[#This Row],[Vertex 1]],GroupVertices[Vertex],0)),1,1,"")</f>
        <v>7</v>
      </c>
      <c r="AG344" s="80" t="str">
        <f>REPLACE(INDEX(GroupVertices[Group],MATCH(Edges[[#This Row],[Vertex 2]],GroupVertices[Vertex],0)),1,1,"")</f>
        <v>7</v>
      </c>
      <c r="AH344" s="49"/>
      <c r="AI344" s="50"/>
      <c r="AJ344" s="49"/>
      <c r="AK344" s="50"/>
      <c r="AL344" s="49"/>
      <c r="AM344" s="50"/>
      <c r="AN344" s="49"/>
      <c r="AO344" s="50"/>
      <c r="AP344" s="49"/>
    </row>
    <row r="345" spans="1:42" ht="15">
      <c r="A345" s="65" t="s">
        <v>553</v>
      </c>
      <c r="B345" s="65" t="s">
        <v>553</v>
      </c>
      <c r="C345" s="66" t="s">
        <v>2942</v>
      </c>
      <c r="D345" s="67">
        <v>3</v>
      </c>
      <c r="E345" s="68"/>
      <c r="F345" s="69">
        <v>40</v>
      </c>
      <c r="G345" s="66"/>
      <c r="H345" s="70"/>
      <c r="I345" s="71"/>
      <c r="J345" s="71"/>
      <c r="K345" s="35" t="s">
        <v>65</v>
      </c>
      <c r="L345" s="79">
        <v>345</v>
      </c>
      <c r="M345" s="79"/>
      <c r="N345" s="73"/>
      <c r="O345" s="81" t="s">
        <v>565</v>
      </c>
      <c r="P345" s="81"/>
      <c r="Q345" s="81"/>
      <c r="R345" s="81"/>
      <c r="S345" s="81"/>
      <c r="T345" s="81"/>
      <c r="U345" s="81"/>
      <c r="V345" s="81" t="s">
        <v>1129</v>
      </c>
      <c r="W345" s="86" t="str">
        <f>HYPERLINK("https://www.youtube.com/watch?v=DfVp1zDYNLg")</f>
        <v>https://www.youtube.com/watch?v=DfVp1zDYNLg</v>
      </c>
      <c r="X345" s="81"/>
      <c r="Y345" s="81"/>
      <c r="Z345" s="88">
        <v>41325.114756944444</v>
      </c>
      <c r="AA345" s="81"/>
      <c r="AB345" s="81"/>
      <c r="AC345" s="81"/>
      <c r="AD345" s="81"/>
      <c r="AE345">
        <v>1</v>
      </c>
      <c r="AF345" s="80" t="str">
        <f>REPLACE(INDEX(GroupVertices[Group],MATCH(Edges[[#This Row],[Vertex 1]],GroupVertices[Vertex],0)),1,1,"")</f>
        <v>3</v>
      </c>
      <c r="AG345" s="80" t="str">
        <f>REPLACE(INDEX(GroupVertices[Group],MATCH(Edges[[#This Row],[Vertex 2]],GroupVertices[Vertex],0)),1,1,"")</f>
        <v>3</v>
      </c>
      <c r="AH345" s="49"/>
      <c r="AI345" s="50"/>
      <c r="AJ345" s="49"/>
      <c r="AK345" s="50"/>
      <c r="AL345" s="49"/>
      <c r="AM345" s="50"/>
      <c r="AN345" s="49"/>
      <c r="AO345" s="50"/>
      <c r="AP345" s="49"/>
    </row>
    <row r="346" spans="1:42" ht="15">
      <c r="A346" s="65" t="s">
        <v>554</v>
      </c>
      <c r="B346" s="65" t="s">
        <v>554</v>
      </c>
      <c r="C346" s="66" t="s">
        <v>2942</v>
      </c>
      <c r="D346" s="67">
        <v>3</v>
      </c>
      <c r="E346" s="68"/>
      <c r="F346" s="69">
        <v>40</v>
      </c>
      <c r="G346" s="66"/>
      <c r="H346" s="70"/>
      <c r="I346" s="71"/>
      <c r="J346" s="71"/>
      <c r="K346" s="35" t="s">
        <v>65</v>
      </c>
      <c r="L346" s="79">
        <v>346</v>
      </c>
      <c r="M346" s="79"/>
      <c r="N346" s="73"/>
      <c r="O346" s="81" t="s">
        <v>565</v>
      </c>
      <c r="P346" s="81"/>
      <c r="Q346" s="81"/>
      <c r="R346" s="81"/>
      <c r="S346" s="81"/>
      <c r="T346" s="81"/>
      <c r="U346" s="81"/>
      <c r="V346" s="81" t="s">
        <v>1169</v>
      </c>
      <c r="W346" s="86" t="str">
        <f>HYPERLINK("https://www.youtube.com/watch?v=loKrwwx7OWQ")</f>
        <v>https://www.youtube.com/watch?v=loKrwwx7OWQ</v>
      </c>
      <c r="X346" s="81"/>
      <c r="Y346" s="81"/>
      <c r="Z346" s="88">
        <v>40581.614583333336</v>
      </c>
      <c r="AA346" s="81"/>
      <c r="AB346" s="81"/>
      <c r="AC346" s="81"/>
      <c r="AD346" s="81"/>
      <c r="AE346">
        <v>1</v>
      </c>
      <c r="AF346" s="80" t="str">
        <f>REPLACE(INDEX(GroupVertices[Group],MATCH(Edges[[#This Row],[Vertex 1]],GroupVertices[Vertex],0)),1,1,"")</f>
        <v>2</v>
      </c>
      <c r="AG346" s="80" t="str">
        <f>REPLACE(INDEX(GroupVertices[Group],MATCH(Edges[[#This Row],[Vertex 2]],GroupVertices[Vertex],0)),1,1,"")</f>
        <v>2</v>
      </c>
      <c r="AH346" s="49"/>
      <c r="AI346" s="50"/>
      <c r="AJ346" s="49"/>
      <c r="AK346" s="50"/>
      <c r="AL346" s="49"/>
      <c r="AM346" s="50"/>
      <c r="AN346" s="49"/>
      <c r="AO346" s="50"/>
      <c r="AP346" s="49"/>
    </row>
    <row r="347" spans="1:42" ht="15">
      <c r="A347" s="65" t="s">
        <v>555</v>
      </c>
      <c r="B347" s="65" t="s">
        <v>555</v>
      </c>
      <c r="C347" s="66" t="s">
        <v>2942</v>
      </c>
      <c r="D347" s="67">
        <v>3</v>
      </c>
      <c r="E347" s="68"/>
      <c r="F347" s="69">
        <v>40</v>
      </c>
      <c r="G347" s="66"/>
      <c r="H347" s="70"/>
      <c r="I347" s="71"/>
      <c r="J347" s="71"/>
      <c r="K347" s="35" t="s">
        <v>65</v>
      </c>
      <c r="L347" s="79">
        <v>347</v>
      </c>
      <c r="M347" s="79"/>
      <c r="N347" s="73"/>
      <c r="O347" s="81" t="s">
        <v>565</v>
      </c>
      <c r="P347" s="81"/>
      <c r="Q347" s="81"/>
      <c r="R347" s="81"/>
      <c r="S347" s="81"/>
      <c r="T347" s="81"/>
      <c r="U347" s="81"/>
      <c r="V347" s="81" t="s">
        <v>1119</v>
      </c>
      <c r="W347" s="86" t="str">
        <f>HYPERLINK("https://www.youtube.com/watch?v=leNjC1CQiow")</f>
        <v>https://www.youtube.com/watch?v=leNjC1CQiow</v>
      </c>
      <c r="X347" s="81"/>
      <c r="Y347" s="81"/>
      <c r="Z347" s="88">
        <v>43564.77590277778</v>
      </c>
      <c r="AA347" s="81"/>
      <c r="AB347" s="81"/>
      <c r="AC347" s="81"/>
      <c r="AD347" s="81"/>
      <c r="AE347">
        <v>1</v>
      </c>
      <c r="AF347" s="80" t="str">
        <f>REPLACE(INDEX(GroupVertices[Group],MATCH(Edges[[#This Row],[Vertex 1]],GroupVertices[Vertex],0)),1,1,"")</f>
        <v>4</v>
      </c>
      <c r="AG347" s="80" t="str">
        <f>REPLACE(INDEX(GroupVertices[Group],MATCH(Edges[[#This Row],[Vertex 2]],GroupVertices[Vertex],0)),1,1,"")</f>
        <v>4</v>
      </c>
      <c r="AH347" s="49"/>
      <c r="AI347" s="50"/>
      <c r="AJ347" s="49"/>
      <c r="AK347" s="50"/>
      <c r="AL347" s="49"/>
      <c r="AM347" s="50"/>
      <c r="AN347" s="49"/>
      <c r="AO347" s="50"/>
      <c r="AP347" s="49"/>
    </row>
    <row r="348" spans="1:42" ht="15">
      <c r="A348" s="65" t="s">
        <v>441</v>
      </c>
      <c r="B348" s="65" t="s">
        <v>441</v>
      </c>
      <c r="C348" s="66" t="s">
        <v>2943</v>
      </c>
      <c r="D348" s="67">
        <v>4.4</v>
      </c>
      <c r="E348" s="68"/>
      <c r="F348" s="69">
        <v>35</v>
      </c>
      <c r="G348" s="66"/>
      <c r="H348" s="70"/>
      <c r="I348" s="71"/>
      <c r="J348" s="71"/>
      <c r="K348" s="35" t="s">
        <v>65</v>
      </c>
      <c r="L348" s="79">
        <v>348</v>
      </c>
      <c r="M348" s="79"/>
      <c r="N348" s="73"/>
      <c r="O348" s="81" t="s">
        <v>563</v>
      </c>
      <c r="P348" s="81" t="s">
        <v>325</v>
      </c>
      <c r="Q348" s="84" t="s">
        <v>845</v>
      </c>
      <c r="R348" s="81" t="s">
        <v>441</v>
      </c>
      <c r="S348" s="81" t="s">
        <v>954</v>
      </c>
      <c r="T348" s="86" t="str">
        <f>HYPERLINK("http://www.youtube.com/channel/UCaz5lJl4O-DlZ0Ype11GGDQ")</f>
        <v>http://www.youtube.com/channel/UCaz5lJl4O-DlZ0Ype11GGDQ</v>
      </c>
      <c r="U348" s="81"/>
      <c r="V348" s="81" t="s">
        <v>1120</v>
      </c>
      <c r="W348" s="86" t="str">
        <f>HYPERLINK("https://www.youtube.com/watch?v=-dB0rwt6_U8")</f>
        <v>https://www.youtube.com/watch?v=-dB0rwt6_U8</v>
      </c>
      <c r="X348" s="81" t="s">
        <v>1183</v>
      </c>
      <c r="Y348" s="81">
        <v>1</v>
      </c>
      <c r="Z348" s="88">
        <v>44200.973229166666</v>
      </c>
      <c r="AA348" s="88">
        <v>44200.973229166666</v>
      </c>
      <c r="AB348" s="81" t="s">
        <v>1217</v>
      </c>
      <c r="AC348" s="81" t="s">
        <v>1235</v>
      </c>
      <c r="AD348" s="84" t="s">
        <v>1239</v>
      </c>
      <c r="AE348" s="82">
        <v>2</v>
      </c>
      <c r="AF348" s="83" t="str">
        <f>REPLACE(INDEX(GroupVertices[Group],MATCH(Edges[[#This Row],[Vertex 1]],GroupVertices[Vertex],0)),1,1,"")</f>
        <v>5</v>
      </c>
      <c r="AG348" s="83" t="str">
        <f>REPLACE(INDEX(GroupVertices[Group],MATCH(Edges[[#This Row],[Vertex 2]],GroupVertices[Vertex],0)),1,1,"")</f>
        <v>5</v>
      </c>
      <c r="AH348" s="111">
        <v>0</v>
      </c>
      <c r="AI348" s="112">
        <v>0</v>
      </c>
      <c r="AJ348" s="111">
        <v>0</v>
      </c>
      <c r="AK348" s="112">
        <v>0</v>
      </c>
      <c r="AL348" s="111">
        <v>0</v>
      </c>
      <c r="AM348" s="112">
        <v>0</v>
      </c>
      <c r="AN348" s="111">
        <v>109</v>
      </c>
      <c r="AO348" s="112">
        <v>100</v>
      </c>
      <c r="AP348" s="111">
        <v>109</v>
      </c>
    </row>
    <row r="349" spans="1:42" ht="15">
      <c r="A349" s="65" t="s">
        <v>441</v>
      </c>
      <c r="B349" s="65" t="s">
        <v>441</v>
      </c>
      <c r="C349" s="66" t="s">
        <v>2943</v>
      </c>
      <c r="D349" s="67">
        <v>4.4</v>
      </c>
      <c r="E349" s="68"/>
      <c r="F349" s="69">
        <v>35</v>
      </c>
      <c r="G349" s="66"/>
      <c r="H349" s="70"/>
      <c r="I349" s="71"/>
      <c r="J349" s="71"/>
      <c r="K349" s="35" t="s">
        <v>65</v>
      </c>
      <c r="L349" s="79">
        <v>349</v>
      </c>
      <c r="M349" s="79"/>
      <c r="N349" s="73"/>
      <c r="O349" s="81" t="s">
        <v>565</v>
      </c>
      <c r="P349" s="81"/>
      <c r="Q349" s="81"/>
      <c r="R349" s="81"/>
      <c r="S349" s="81"/>
      <c r="T349" s="81"/>
      <c r="U349" s="81"/>
      <c r="V349" s="81" t="s">
        <v>1120</v>
      </c>
      <c r="W349" s="86" t="str">
        <f>HYPERLINK("https://www.youtube.com/watch?v=-dB0rwt6_U8")</f>
        <v>https://www.youtube.com/watch?v=-dB0rwt6_U8</v>
      </c>
      <c r="X349" s="81"/>
      <c r="Y349" s="81"/>
      <c r="Z349" s="88">
        <v>43535.548483796294</v>
      </c>
      <c r="AA349" s="81"/>
      <c r="AB349" s="81"/>
      <c r="AC349" s="81"/>
      <c r="AD349" s="81"/>
      <c r="AE349">
        <v>2</v>
      </c>
      <c r="AF349" s="80" t="str">
        <f>REPLACE(INDEX(GroupVertices[Group],MATCH(Edges[[#This Row],[Vertex 1]],GroupVertices[Vertex],0)),1,1,"")</f>
        <v>5</v>
      </c>
      <c r="AG349" s="80" t="str">
        <f>REPLACE(INDEX(GroupVertices[Group],MATCH(Edges[[#This Row],[Vertex 2]],GroupVertices[Vertex],0)),1,1,"")</f>
        <v>5</v>
      </c>
      <c r="AH349" s="49"/>
      <c r="AI349" s="50"/>
      <c r="AJ349" s="49"/>
      <c r="AK349" s="50"/>
      <c r="AL349" s="49"/>
      <c r="AM349" s="50"/>
      <c r="AN349" s="49"/>
      <c r="AO349" s="50"/>
      <c r="AP349" s="49"/>
    </row>
    <row r="350" spans="1:42" ht="15">
      <c r="A350" s="65" t="s">
        <v>556</v>
      </c>
      <c r="B350" s="65" t="s">
        <v>556</v>
      </c>
      <c r="C350" s="66" t="s">
        <v>2942</v>
      </c>
      <c r="D350" s="67">
        <v>3</v>
      </c>
      <c r="E350" s="68"/>
      <c r="F350" s="69">
        <v>40</v>
      </c>
      <c r="G350" s="66"/>
      <c r="H350" s="70"/>
      <c r="I350" s="71"/>
      <c r="J350" s="71"/>
      <c r="K350" s="35" t="s">
        <v>65</v>
      </c>
      <c r="L350" s="79">
        <v>350</v>
      </c>
      <c r="M350" s="79"/>
      <c r="N350" s="73"/>
      <c r="O350" s="81" t="s">
        <v>565</v>
      </c>
      <c r="P350" s="81"/>
      <c r="Q350" s="81"/>
      <c r="R350" s="81"/>
      <c r="S350" s="81"/>
      <c r="T350" s="81"/>
      <c r="U350" s="81"/>
      <c r="V350" s="81" t="s">
        <v>1170</v>
      </c>
      <c r="W350" s="86" t="str">
        <f>HYPERLINK("https://www.youtube.com/watch?v=gv96pG-FpNs")</f>
        <v>https://www.youtube.com/watch?v=gv96pG-FpNs</v>
      </c>
      <c r="X350" s="81"/>
      <c r="Y350" s="81"/>
      <c r="Z350" s="88">
        <v>44662.58981481481</v>
      </c>
      <c r="AA350" s="81"/>
      <c r="AB350" s="81"/>
      <c r="AC350" s="81"/>
      <c r="AD350" s="81"/>
      <c r="AE350">
        <v>1</v>
      </c>
      <c r="AF350" s="80" t="str">
        <f>REPLACE(INDEX(GroupVertices[Group],MATCH(Edges[[#This Row],[Vertex 1]],GroupVertices[Vertex],0)),1,1,"")</f>
        <v>2</v>
      </c>
      <c r="AG350" s="80" t="str">
        <f>REPLACE(INDEX(GroupVertices[Group],MATCH(Edges[[#This Row],[Vertex 2]],GroupVertices[Vertex],0)),1,1,"")</f>
        <v>2</v>
      </c>
      <c r="AH350" s="49"/>
      <c r="AI350" s="50"/>
      <c r="AJ350" s="49"/>
      <c r="AK350" s="50"/>
      <c r="AL350" s="49"/>
      <c r="AM350" s="50"/>
      <c r="AN350" s="49"/>
      <c r="AO350" s="50"/>
      <c r="AP350" s="49"/>
    </row>
    <row r="351" spans="1:42" ht="15">
      <c r="A351" s="65" t="s">
        <v>450</v>
      </c>
      <c r="B351" s="65" t="s">
        <v>450</v>
      </c>
      <c r="C351" s="66" t="s">
        <v>2949</v>
      </c>
      <c r="D351" s="67">
        <v>10</v>
      </c>
      <c r="E351" s="68"/>
      <c r="F351" s="69">
        <v>15</v>
      </c>
      <c r="G351" s="66"/>
      <c r="H351" s="70"/>
      <c r="I351" s="71"/>
      <c r="J351" s="71"/>
      <c r="K351" s="35" t="s">
        <v>65</v>
      </c>
      <c r="L351" s="79">
        <v>351</v>
      </c>
      <c r="M351" s="79"/>
      <c r="N351" s="73"/>
      <c r="O351" s="81" t="s">
        <v>563</v>
      </c>
      <c r="P351" s="81" t="s">
        <v>325</v>
      </c>
      <c r="Q351" s="84" t="s">
        <v>846</v>
      </c>
      <c r="R351" s="81" t="s">
        <v>450</v>
      </c>
      <c r="S351" s="81" t="s">
        <v>963</v>
      </c>
      <c r="T351" s="86" t="str">
        <f>HYPERLINK("http://www.youtube.com/channel/UCOQy7XDYjkjhb0QwVMwf-7A")</f>
        <v>http://www.youtube.com/channel/UCOQy7XDYjkjhb0QwVMwf-7A</v>
      </c>
      <c r="U351" s="81"/>
      <c r="V351" s="81" t="s">
        <v>1090</v>
      </c>
      <c r="W351" s="86" t="str">
        <f>HYPERLINK("https://www.youtube.com/watch?v=PmDKuAnKiGA")</f>
        <v>https://www.youtube.com/watch?v=PmDKuAnKiGA</v>
      </c>
      <c r="X351" s="81" t="s">
        <v>1183</v>
      </c>
      <c r="Y351" s="81">
        <v>0</v>
      </c>
      <c r="Z351" s="88">
        <v>43497.795694444445</v>
      </c>
      <c r="AA351" s="88">
        <v>43497.795694444445</v>
      </c>
      <c r="AB351" s="81"/>
      <c r="AC351" s="81"/>
      <c r="AD351" s="84" t="s">
        <v>1239</v>
      </c>
      <c r="AE351" s="82">
        <v>9</v>
      </c>
      <c r="AF351" s="83" t="str">
        <f>REPLACE(INDEX(GroupVertices[Group],MATCH(Edges[[#This Row],[Vertex 1]],GroupVertices[Vertex],0)),1,1,"")</f>
        <v>6</v>
      </c>
      <c r="AG351" s="83" t="str">
        <f>REPLACE(INDEX(GroupVertices[Group],MATCH(Edges[[#This Row],[Vertex 2]],GroupVertices[Vertex],0)),1,1,"")</f>
        <v>6</v>
      </c>
      <c r="AH351" s="111">
        <v>0</v>
      </c>
      <c r="AI351" s="112">
        <v>0</v>
      </c>
      <c r="AJ351" s="111">
        <v>1</v>
      </c>
      <c r="AK351" s="112">
        <v>2.127659574468085</v>
      </c>
      <c r="AL351" s="111">
        <v>0</v>
      </c>
      <c r="AM351" s="112">
        <v>0</v>
      </c>
      <c r="AN351" s="111">
        <v>46</v>
      </c>
      <c r="AO351" s="112">
        <v>97.87234042553192</v>
      </c>
      <c r="AP351" s="111">
        <v>47</v>
      </c>
    </row>
    <row r="352" spans="1:42" ht="15">
      <c r="A352" s="65" t="s">
        <v>450</v>
      </c>
      <c r="B352" s="65" t="s">
        <v>369</v>
      </c>
      <c r="C352" s="66" t="s">
        <v>2942</v>
      </c>
      <c r="D352" s="67">
        <v>3</v>
      </c>
      <c r="E352" s="68"/>
      <c r="F352" s="69">
        <v>40</v>
      </c>
      <c r="G352" s="66"/>
      <c r="H352" s="70"/>
      <c r="I352" s="71"/>
      <c r="J352" s="71"/>
      <c r="K352" s="35" t="s">
        <v>65</v>
      </c>
      <c r="L352" s="79">
        <v>352</v>
      </c>
      <c r="M352" s="79"/>
      <c r="N352" s="73"/>
      <c r="O352" s="81" t="s">
        <v>563</v>
      </c>
      <c r="P352" s="81" t="s">
        <v>325</v>
      </c>
      <c r="Q352" s="84" t="s">
        <v>847</v>
      </c>
      <c r="R352" s="81" t="s">
        <v>450</v>
      </c>
      <c r="S352" s="81" t="s">
        <v>963</v>
      </c>
      <c r="T352" s="86" t="str">
        <f>HYPERLINK("http://www.youtube.com/channel/UCOQy7XDYjkjhb0QwVMwf-7A")</f>
        <v>http://www.youtube.com/channel/UCOQy7XDYjkjhb0QwVMwf-7A</v>
      </c>
      <c r="U352" s="81"/>
      <c r="V352" s="81" t="s">
        <v>1116</v>
      </c>
      <c r="W352" s="86" t="str">
        <f>HYPERLINK("https://www.youtube.com/watch?v=t8YHRVf60BU")</f>
        <v>https://www.youtube.com/watch?v=t8YHRVf60BU</v>
      </c>
      <c r="X352" s="81" t="s">
        <v>1183</v>
      </c>
      <c r="Y352" s="81">
        <v>0</v>
      </c>
      <c r="Z352" s="88">
        <v>41161.68179398148</v>
      </c>
      <c r="AA352" s="88">
        <v>41161.68179398148</v>
      </c>
      <c r="AB352" s="81"/>
      <c r="AC352" s="81"/>
      <c r="AD352" s="84" t="s">
        <v>1239</v>
      </c>
      <c r="AE352" s="82">
        <v>1</v>
      </c>
      <c r="AF352" s="83" t="str">
        <f>REPLACE(INDEX(GroupVertices[Group],MATCH(Edges[[#This Row],[Vertex 1]],GroupVertices[Vertex],0)),1,1,"")</f>
        <v>6</v>
      </c>
      <c r="AG352" s="83" t="str">
        <f>REPLACE(INDEX(GroupVertices[Group],MATCH(Edges[[#This Row],[Vertex 2]],GroupVertices[Vertex],0)),1,1,"")</f>
        <v>1</v>
      </c>
      <c r="AH352" s="111">
        <v>0</v>
      </c>
      <c r="AI352" s="112">
        <v>0</v>
      </c>
      <c r="AJ352" s="111">
        <v>0</v>
      </c>
      <c r="AK352" s="112">
        <v>0</v>
      </c>
      <c r="AL352" s="111">
        <v>0</v>
      </c>
      <c r="AM352" s="112">
        <v>0</v>
      </c>
      <c r="AN352" s="111">
        <v>16</v>
      </c>
      <c r="AO352" s="112">
        <v>100</v>
      </c>
      <c r="AP352" s="111">
        <v>16</v>
      </c>
    </row>
    <row r="353" spans="1:42" ht="15">
      <c r="A353" s="65" t="s">
        <v>450</v>
      </c>
      <c r="B353" s="65" t="s">
        <v>450</v>
      </c>
      <c r="C353" s="66" t="s">
        <v>2949</v>
      </c>
      <c r="D353" s="67">
        <v>10</v>
      </c>
      <c r="E353" s="68"/>
      <c r="F353" s="69">
        <v>15</v>
      </c>
      <c r="G353" s="66"/>
      <c r="H353" s="70"/>
      <c r="I353" s="71"/>
      <c r="J353" s="71"/>
      <c r="K353" s="35" t="s">
        <v>65</v>
      </c>
      <c r="L353" s="79">
        <v>353</v>
      </c>
      <c r="M353" s="79"/>
      <c r="N353" s="73"/>
      <c r="O353" s="81" t="s">
        <v>565</v>
      </c>
      <c r="P353" s="81"/>
      <c r="Q353" s="81"/>
      <c r="R353" s="81"/>
      <c r="S353" s="81"/>
      <c r="T353" s="81"/>
      <c r="U353" s="81"/>
      <c r="V353" s="81" t="s">
        <v>1090</v>
      </c>
      <c r="W353" s="86" t="str">
        <f>HYPERLINK("https://www.youtube.com/watch?v=PmDKuAnKiGA")</f>
        <v>https://www.youtube.com/watch?v=PmDKuAnKiGA</v>
      </c>
      <c r="X353" s="81"/>
      <c r="Y353" s="81"/>
      <c r="Z353" s="88">
        <v>42248.89140046296</v>
      </c>
      <c r="AA353" s="81"/>
      <c r="AB353" s="81"/>
      <c r="AC353" s="81"/>
      <c r="AD353" s="81"/>
      <c r="AE353">
        <v>9</v>
      </c>
      <c r="AF353" s="80" t="str">
        <f>REPLACE(INDEX(GroupVertices[Group],MATCH(Edges[[#This Row],[Vertex 1]],GroupVertices[Vertex],0)),1,1,"")</f>
        <v>6</v>
      </c>
      <c r="AG353" s="80" t="str">
        <f>REPLACE(INDEX(GroupVertices[Group],MATCH(Edges[[#This Row],[Vertex 2]],GroupVertices[Vertex],0)),1,1,"")</f>
        <v>6</v>
      </c>
      <c r="AH353" s="49"/>
      <c r="AI353" s="50"/>
      <c r="AJ353" s="49"/>
      <c r="AK353" s="50"/>
      <c r="AL353" s="49"/>
      <c r="AM353" s="50"/>
      <c r="AN353" s="49"/>
      <c r="AO353" s="50"/>
      <c r="AP353" s="49"/>
    </row>
    <row r="354" spans="1:42" ht="15">
      <c r="A354" s="65" t="s">
        <v>450</v>
      </c>
      <c r="B354" s="65" t="s">
        <v>450</v>
      </c>
      <c r="C354" s="66" t="s">
        <v>2949</v>
      </c>
      <c r="D354" s="67">
        <v>10</v>
      </c>
      <c r="E354" s="68"/>
      <c r="F354" s="69">
        <v>15</v>
      </c>
      <c r="G354" s="66"/>
      <c r="H354" s="70"/>
      <c r="I354" s="71"/>
      <c r="J354" s="71"/>
      <c r="K354" s="35" t="s">
        <v>65</v>
      </c>
      <c r="L354" s="79">
        <v>354</v>
      </c>
      <c r="M354" s="79"/>
      <c r="N354" s="73"/>
      <c r="O354" s="81" t="s">
        <v>565</v>
      </c>
      <c r="P354" s="81"/>
      <c r="Q354" s="81"/>
      <c r="R354" s="81"/>
      <c r="S354" s="81"/>
      <c r="T354" s="81"/>
      <c r="U354" s="81"/>
      <c r="V354" s="81" t="s">
        <v>1171</v>
      </c>
      <c r="W354" s="86" t="str">
        <f>HYPERLINK("https://www.youtube.com/watch?v=EEZfb4WC_uE")</f>
        <v>https://www.youtube.com/watch?v=EEZfb4WC_uE</v>
      </c>
      <c r="X354" s="81"/>
      <c r="Y354" s="81"/>
      <c r="Z354" s="88">
        <v>43216.744988425926</v>
      </c>
      <c r="AA354" s="81"/>
      <c r="AB354" s="81"/>
      <c r="AC354" s="81"/>
      <c r="AD354" s="81"/>
      <c r="AE354">
        <v>9</v>
      </c>
      <c r="AF354" s="80" t="str">
        <f>REPLACE(INDEX(GroupVertices[Group],MATCH(Edges[[#This Row],[Vertex 1]],GroupVertices[Vertex],0)),1,1,"")</f>
        <v>6</v>
      </c>
      <c r="AG354" s="80" t="str">
        <f>REPLACE(INDEX(GroupVertices[Group],MATCH(Edges[[#This Row],[Vertex 2]],GroupVertices[Vertex],0)),1,1,"")</f>
        <v>6</v>
      </c>
      <c r="AH354" s="49"/>
      <c r="AI354" s="50"/>
      <c r="AJ354" s="49"/>
      <c r="AK354" s="50"/>
      <c r="AL354" s="49"/>
      <c r="AM354" s="50"/>
      <c r="AN354" s="49"/>
      <c r="AO354" s="50"/>
      <c r="AP354" s="49"/>
    </row>
    <row r="355" spans="1:42" ht="15">
      <c r="A355" s="65" t="s">
        <v>450</v>
      </c>
      <c r="B355" s="65" t="s">
        <v>450</v>
      </c>
      <c r="C355" s="66" t="s">
        <v>2949</v>
      </c>
      <c r="D355" s="67">
        <v>10</v>
      </c>
      <c r="E355" s="68"/>
      <c r="F355" s="69">
        <v>15</v>
      </c>
      <c r="G355" s="66"/>
      <c r="H355" s="70"/>
      <c r="I355" s="71"/>
      <c r="J355" s="71"/>
      <c r="K355" s="35" t="s">
        <v>65</v>
      </c>
      <c r="L355" s="79">
        <v>355</v>
      </c>
      <c r="M355" s="79"/>
      <c r="N355" s="73"/>
      <c r="O355" s="81" t="s">
        <v>565</v>
      </c>
      <c r="P355" s="81"/>
      <c r="Q355" s="81"/>
      <c r="R355" s="81"/>
      <c r="S355" s="81"/>
      <c r="T355" s="81"/>
      <c r="U355" s="81"/>
      <c r="V355" s="81" t="s">
        <v>1172</v>
      </c>
      <c r="W355" s="86" t="str">
        <f>HYPERLINK("https://www.youtube.com/watch?v=jUz1XgQaXVE")</f>
        <v>https://www.youtube.com/watch?v=jUz1XgQaXVE</v>
      </c>
      <c r="X355" s="81"/>
      <c r="Y355" s="81"/>
      <c r="Z355" s="88">
        <v>42918.82383101852</v>
      </c>
      <c r="AA355" s="81"/>
      <c r="AB355" s="81"/>
      <c r="AC355" s="81"/>
      <c r="AD355" s="81"/>
      <c r="AE355">
        <v>9</v>
      </c>
      <c r="AF355" s="80" t="str">
        <f>REPLACE(INDEX(GroupVertices[Group],MATCH(Edges[[#This Row],[Vertex 1]],GroupVertices[Vertex],0)),1,1,"")</f>
        <v>6</v>
      </c>
      <c r="AG355" s="80" t="str">
        <f>REPLACE(INDEX(GroupVertices[Group],MATCH(Edges[[#This Row],[Vertex 2]],GroupVertices[Vertex],0)),1,1,"")</f>
        <v>6</v>
      </c>
      <c r="AH355" s="49"/>
      <c r="AI355" s="50"/>
      <c r="AJ355" s="49"/>
      <c r="AK355" s="50"/>
      <c r="AL355" s="49"/>
      <c r="AM355" s="50"/>
      <c r="AN355" s="49"/>
      <c r="AO355" s="50"/>
      <c r="AP355" s="49"/>
    </row>
    <row r="356" spans="1:42" ht="15">
      <c r="A356" s="65" t="s">
        <v>450</v>
      </c>
      <c r="B356" s="65" t="s">
        <v>450</v>
      </c>
      <c r="C356" s="66" t="s">
        <v>2949</v>
      </c>
      <c r="D356" s="67">
        <v>10</v>
      </c>
      <c r="E356" s="68"/>
      <c r="F356" s="69">
        <v>15</v>
      </c>
      <c r="G356" s="66"/>
      <c r="H356" s="70"/>
      <c r="I356" s="71"/>
      <c r="J356" s="71"/>
      <c r="K356" s="35" t="s">
        <v>65</v>
      </c>
      <c r="L356" s="79">
        <v>356</v>
      </c>
      <c r="M356" s="79"/>
      <c r="N356" s="73"/>
      <c r="O356" s="81" t="s">
        <v>565</v>
      </c>
      <c r="P356" s="81"/>
      <c r="Q356" s="81"/>
      <c r="R356" s="81"/>
      <c r="S356" s="81"/>
      <c r="T356" s="81"/>
      <c r="U356" s="81"/>
      <c r="V356" s="81" t="s">
        <v>1173</v>
      </c>
      <c r="W356" s="86" t="str">
        <f>HYPERLINK("https://www.youtube.com/watch?v=Y_20YJMfpWE")</f>
        <v>https://www.youtube.com/watch?v=Y_20YJMfpWE</v>
      </c>
      <c r="X356" s="81"/>
      <c r="Y356" s="81"/>
      <c r="Z356" s="88">
        <v>42898.89332175926</v>
      </c>
      <c r="AA356" s="81"/>
      <c r="AB356" s="81"/>
      <c r="AC356" s="81"/>
      <c r="AD356" s="81"/>
      <c r="AE356">
        <v>9</v>
      </c>
      <c r="AF356" s="80" t="str">
        <f>REPLACE(INDEX(GroupVertices[Group],MATCH(Edges[[#This Row],[Vertex 1]],GroupVertices[Vertex],0)),1,1,"")</f>
        <v>6</v>
      </c>
      <c r="AG356" s="80" t="str">
        <f>REPLACE(INDEX(GroupVertices[Group],MATCH(Edges[[#This Row],[Vertex 2]],GroupVertices[Vertex],0)),1,1,"")</f>
        <v>6</v>
      </c>
      <c r="AH356" s="49"/>
      <c r="AI356" s="50"/>
      <c r="AJ356" s="49"/>
      <c r="AK356" s="50"/>
      <c r="AL356" s="49"/>
      <c r="AM356" s="50"/>
      <c r="AN356" s="49"/>
      <c r="AO356" s="50"/>
      <c r="AP356" s="49"/>
    </row>
    <row r="357" spans="1:42" ht="15">
      <c r="A357" s="65" t="s">
        <v>450</v>
      </c>
      <c r="B357" s="65" t="s">
        <v>450</v>
      </c>
      <c r="C357" s="66" t="s">
        <v>2949</v>
      </c>
      <c r="D357" s="67">
        <v>10</v>
      </c>
      <c r="E357" s="68"/>
      <c r="F357" s="69">
        <v>15</v>
      </c>
      <c r="G357" s="66"/>
      <c r="H357" s="70"/>
      <c r="I357" s="71"/>
      <c r="J357" s="71"/>
      <c r="K357" s="35" t="s">
        <v>65</v>
      </c>
      <c r="L357" s="79">
        <v>357</v>
      </c>
      <c r="M357" s="79"/>
      <c r="N357" s="73"/>
      <c r="O357" s="81" t="s">
        <v>565</v>
      </c>
      <c r="P357" s="81"/>
      <c r="Q357" s="81"/>
      <c r="R357" s="81"/>
      <c r="S357" s="81"/>
      <c r="T357" s="81"/>
      <c r="U357" s="81"/>
      <c r="V357" s="81" t="s">
        <v>1174</v>
      </c>
      <c r="W357" s="86" t="str">
        <f>HYPERLINK("https://www.youtube.com/watch?v=D2yECwk_gq8")</f>
        <v>https://www.youtube.com/watch?v=D2yECwk_gq8</v>
      </c>
      <c r="X357" s="81"/>
      <c r="Y357" s="81"/>
      <c r="Z357" s="88">
        <v>42897.70261574074</v>
      </c>
      <c r="AA357" s="81"/>
      <c r="AB357" s="81"/>
      <c r="AC357" s="81"/>
      <c r="AD357" s="81"/>
      <c r="AE357">
        <v>9</v>
      </c>
      <c r="AF357" s="80" t="str">
        <f>REPLACE(INDEX(GroupVertices[Group],MATCH(Edges[[#This Row],[Vertex 1]],GroupVertices[Vertex],0)),1,1,"")</f>
        <v>6</v>
      </c>
      <c r="AG357" s="80" t="str">
        <f>REPLACE(INDEX(GroupVertices[Group],MATCH(Edges[[#This Row],[Vertex 2]],GroupVertices[Vertex],0)),1,1,"")</f>
        <v>6</v>
      </c>
      <c r="AH357" s="49"/>
      <c r="AI357" s="50"/>
      <c r="AJ357" s="49"/>
      <c r="AK357" s="50"/>
      <c r="AL357" s="49"/>
      <c r="AM357" s="50"/>
      <c r="AN357" s="49"/>
      <c r="AO357" s="50"/>
      <c r="AP357" s="49"/>
    </row>
    <row r="358" spans="1:42" ht="15">
      <c r="A358" s="65" t="s">
        <v>450</v>
      </c>
      <c r="B358" s="65" t="s">
        <v>450</v>
      </c>
      <c r="C358" s="66" t="s">
        <v>2949</v>
      </c>
      <c r="D358" s="67">
        <v>10</v>
      </c>
      <c r="E358" s="68"/>
      <c r="F358" s="69">
        <v>15</v>
      </c>
      <c r="G358" s="66"/>
      <c r="H358" s="70"/>
      <c r="I358" s="71"/>
      <c r="J358" s="71"/>
      <c r="K358" s="35" t="s">
        <v>65</v>
      </c>
      <c r="L358" s="79">
        <v>358</v>
      </c>
      <c r="M358" s="79"/>
      <c r="N358" s="73"/>
      <c r="O358" s="81" t="s">
        <v>565</v>
      </c>
      <c r="P358" s="81"/>
      <c r="Q358" s="81"/>
      <c r="R358" s="81"/>
      <c r="S358" s="81"/>
      <c r="T358" s="81"/>
      <c r="U358" s="81"/>
      <c r="V358" s="81" t="s">
        <v>1175</v>
      </c>
      <c r="W358" s="86" t="str">
        <f>HYPERLINK("https://www.youtube.com/watch?v=5qNwGSCUqHo")</f>
        <v>https://www.youtube.com/watch?v=5qNwGSCUqHo</v>
      </c>
      <c r="X358" s="81"/>
      <c r="Y358" s="81"/>
      <c r="Z358" s="88">
        <v>43477.971597222226</v>
      </c>
      <c r="AA358" s="81"/>
      <c r="AB358" s="81"/>
      <c r="AC358" s="81"/>
      <c r="AD358" s="81"/>
      <c r="AE358">
        <v>9</v>
      </c>
      <c r="AF358" s="80" t="str">
        <f>REPLACE(INDEX(GroupVertices[Group],MATCH(Edges[[#This Row],[Vertex 1]],GroupVertices[Vertex],0)),1,1,"")</f>
        <v>6</v>
      </c>
      <c r="AG358" s="80" t="str">
        <f>REPLACE(INDEX(GroupVertices[Group],MATCH(Edges[[#This Row],[Vertex 2]],GroupVertices[Vertex],0)),1,1,"")</f>
        <v>6</v>
      </c>
      <c r="AH358" s="49"/>
      <c r="AI358" s="50"/>
      <c r="AJ358" s="49"/>
      <c r="AK358" s="50"/>
      <c r="AL358" s="49"/>
      <c r="AM358" s="50"/>
      <c r="AN358" s="49"/>
      <c r="AO358" s="50"/>
      <c r="AP358" s="49"/>
    </row>
    <row r="359" spans="1:42" ht="15">
      <c r="A359" s="65" t="s">
        <v>450</v>
      </c>
      <c r="B359" s="65" t="s">
        <v>450</v>
      </c>
      <c r="C359" s="66" t="s">
        <v>2949</v>
      </c>
      <c r="D359" s="67">
        <v>10</v>
      </c>
      <c r="E359" s="68"/>
      <c r="F359" s="69">
        <v>15</v>
      </c>
      <c r="G359" s="66"/>
      <c r="H359" s="70"/>
      <c r="I359" s="71"/>
      <c r="J359" s="71"/>
      <c r="K359" s="35" t="s">
        <v>65</v>
      </c>
      <c r="L359" s="79">
        <v>359</v>
      </c>
      <c r="M359" s="79"/>
      <c r="N359" s="73"/>
      <c r="O359" s="81" t="s">
        <v>565</v>
      </c>
      <c r="P359" s="81"/>
      <c r="Q359" s="81"/>
      <c r="R359" s="81"/>
      <c r="S359" s="81"/>
      <c r="T359" s="81"/>
      <c r="U359" s="81"/>
      <c r="V359" s="81" t="s">
        <v>1121</v>
      </c>
      <c r="W359" s="86" t="str">
        <f>HYPERLINK("https://www.youtube.com/watch?v=xKhYGRpbwOc")</f>
        <v>https://www.youtube.com/watch?v=xKhYGRpbwOc</v>
      </c>
      <c r="X359" s="81"/>
      <c r="Y359" s="81"/>
      <c r="Z359" s="88">
        <v>40437.026608796295</v>
      </c>
      <c r="AA359" s="81"/>
      <c r="AB359" s="81"/>
      <c r="AC359" s="81"/>
      <c r="AD359" s="81"/>
      <c r="AE359">
        <v>9</v>
      </c>
      <c r="AF359" s="80" t="str">
        <f>REPLACE(INDEX(GroupVertices[Group],MATCH(Edges[[#This Row],[Vertex 1]],GroupVertices[Vertex],0)),1,1,"")</f>
        <v>6</v>
      </c>
      <c r="AG359" s="80" t="str">
        <f>REPLACE(INDEX(GroupVertices[Group],MATCH(Edges[[#This Row],[Vertex 2]],GroupVertices[Vertex],0)),1,1,"")</f>
        <v>6</v>
      </c>
      <c r="AH359" s="49"/>
      <c r="AI359" s="50"/>
      <c r="AJ359" s="49"/>
      <c r="AK359" s="50"/>
      <c r="AL359" s="49"/>
      <c r="AM359" s="50"/>
      <c r="AN359" s="49"/>
      <c r="AO359" s="50"/>
      <c r="AP359" s="49"/>
    </row>
    <row r="360" spans="1:42" ht="15">
      <c r="A360" s="65" t="s">
        <v>450</v>
      </c>
      <c r="B360" s="65" t="s">
        <v>450</v>
      </c>
      <c r="C360" s="66" t="s">
        <v>2949</v>
      </c>
      <c r="D360" s="67">
        <v>10</v>
      </c>
      <c r="E360" s="68"/>
      <c r="F360" s="69">
        <v>15</v>
      </c>
      <c r="G360" s="66"/>
      <c r="H360" s="70"/>
      <c r="I360" s="71"/>
      <c r="J360" s="71"/>
      <c r="K360" s="35" t="s">
        <v>65</v>
      </c>
      <c r="L360" s="79">
        <v>360</v>
      </c>
      <c r="M360" s="79"/>
      <c r="N360" s="73"/>
      <c r="O360" s="81" t="s">
        <v>565</v>
      </c>
      <c r="P360" s="81"/>
      <c r="Q360" s="81"/>
      <c r="R360" s="81"/>
      <c r="S360" s="81"/>
      <c r="T360" s="81"/>
      <c r="U360" s="81"/>
      <c r="V360" s="81" t="s">
        <v>1176</v>
      </c>
      <c r="W360" s="86" t="str">
        <f>HYPERLINK("https://www.youtube.com/watch?v=4ae-mqDr7co")</f>
        <v>https://www.youtube.com/watch?v=4ae-mqDr7co</v>
      </c>
      <c r="X360" s="81"/>
      <c r="Y360" s="81"/>
      <c r="Z360" s="88">
        <v>43478.28633101852</v>
      </c>
      <c r="AA360" s="81"/>
      <c r="AB360" s="81"/>
      <c r="AC360" s="81"/>
      <c r="AD360" s="81"/>
      <c r="AE360">
        <v>9</v>
      </c>
      <c r="AF360" s="80" t="str">
        <f>REPLACE(INDEX(GroupVertices[Group],MATCH(Edges[[#This Row],[Vertex 1]],GroupVertices[Vertex],0)),1,1,"")</f>
        <v>6</v>
      </c>
      <c r="AG360" s="80" t="str">
        <f>REPLACE(INDEX(GroupVertices[Group],MATCH(Edges[[#This Row],[Vertex 2]],GroupVertices[Vertex],0)),1,1,"")</f>
        <v>6</v>
      </c>
      <c r="AH360" s="49"/>
      <c r="AI360" s="50"/>
      <c r="AJ360" s="49"/>
      <c r="AK360" s="50"/>
      <c r="AL360" s="49"/>
      <c r="AM360" s="50"/>
      <c r="AN360" s="49"/>
      <c r="AO360" s="50"/>
      <c r="AP360" s="49"/>
    </row>
    <row r="361" spans="1:42" ht="15">
      <c r="A361" s="65" t="s">
        <v>557</v>
      </c>
      <c r="B361" s="65" t="s">
        <v>557</v>
      </c>
      <c r="C361" s="66" t="s">
        <v>2942</v>
      </c>
      <c r="D361" s="67">
        <v>3</v>
      </c>
      <c r="E361" s="68"/>
      <c r="F361" s="69">
        <v>40</v>
      </c>
      <c r="G361" s="66"/>
      <c r="H361" s="70"/>
      <c r="I361" s="71"/>
      <c r="J361" s="71"/>
      <c r="K361" s="35" t="s">
        <v>65</v>
      </c>
      <c r="L361" s="79">
        <v>361</v>
      </c>
      <c r="M361" s="79"/>
      <c r="N361" s="73"/>
      <c r="O361" s="81" t="s">
        <v>565</v>
      </c>
      <c r="P361" s="81"/>
      <c r="Q361" s="81"/>
      <c r="R361" s="81"/>
      <c r="S361" s="81"/>
      <c r="T361" s="81"/>
      <c r="U361" s="81"/>
      <c r="V361" s="81" t="s">
        <v>1177</v>
      </c>
      <c r="W361" s="86" t="str">
        <f>HYPERLINK("https://www.youtube.com/watch?v=ByE9IG1PtOs")</f>
        <v>https://www.youtube.com/watch?v=ByE9IG1PtOs</v>
      </c>
      <c r="X361" s="81"/>
      <c r="Y361" s="81"/>
      <c r="Z361" s="88">
        <v>41501.487442129626</v>
      </c>
      <c r="AA361" s="81"/>
      <c r="AB361" s="81"/>
      <c r="AC361" s="81"/>
      <c r="AD361" s="81"/>
      <c r="AE361">
        <v>1</v>
      </c>
      <c r="AF361" s="80" t="str">
        <f>REPLACE(INDEX(GroupVertices[Group],MATCH(Edges[[#This Row],[Vertex 1]],GroupVertices[Vertex],0)),1,1,"")</f>
        <v>2</v>
      </c>
      <c r="AG361" s="80" t="str">
        <f>REPLACE(INDEX(GroupVertices[Group],MATCH(Edges[[#This Row],[Vertex 2]],GroupVertices[Vertex],0)),1,1,"")</f>
        <v>2</v>
      </c>
      <c r="AH361" s="49"/>
      <c r="AI361" s="50"/>
      <c r="AJ361" s="49"/>
      <c r="AK361" s="50"/>
      <c r="AL361" s="49"/>
      <c r="AM361" s="50"/>
      <c r="AN361" s="49"/>
      <c r="AO361" s="50"/>
      <c r="AP361" s="49"/>
    </row>
    <row r="362" spans="1:42" ht="15">
      <c r="A362" s="65" t="s">
        <v>558</v>
      </c>
      <c r="B362" s="65" t="s">
        <v>558</v>
      </c>
      <c r="C362" s="66" t="s">
        <v>2943</v>
      </c>
      <c r="D362" s="67">
        <v>4.4</v>
      </c>
      <c r="E362" s="68"/>
      <c r="F362" s="69">
        <v>35</v>
      </c>
      <c r="G362" s="66"/>
      <c r="H362" s="70"/>
      <c r="I362" s="71"/>
      <c r="J362" s="71"/>
      <c r="K362" s="35" t="s">
        <v>65</v>
      </c>
      <c r="L362" s="79">
        <v>362</v>
      </c>
      <c r="M362" s="79"/>
      <c r="N362" s="73"/>
      <c r="O362" s="81" t="s">
        <v>565</v>
      </c>
      <c r="P362" s="81"/>
      <c r="Q362" s="81"/>
      <c r="R362" s="81"/>
      <c r="S362" s="81"/>
      <c r="T362" s="81"/>
      <c r="U362" s="81"/>
      <c r="V362" s="81" t="s">
        <v>1178</v>
      </c>
      <c r="W362" s="86" t="str">
        <f>HYPERLINK("https://www.youtube.com/watch?v=GUjqCaLet34")</f>
        <v>https://www.youtube.com/watch?v=GUjqCaLet34</v>
      </c>
      <c r="X362" s="81"/>
      <c r="Y362" s="81"/>
      <c r="Z362" s="88">
        <v>44653.884722222225</v>
      </c>
      <c r="AA362" s="81"/>
      <c r="AB362" s="81"/>
      <c r="AC362" s="81"/>
      <c r="AD362" s="81"/>
      <c r="AE362">
        <v>2</v>
      </c>
      <c r="AF362" s="80" t="str">
        <f>REPLACE(INDEX(GroupVertices[Group],MATCH(Edges[[#This Row],[Vertex 1]],GroupVertices[Vertex],0)),1,1,"")</f>
        <v>4</v>
      </c>
      <c r="AG362" s="80" t="str">
        <f>REPLACE(INDEX(GroupVertices[Group],MATCH(Edges[[#This Row],[Vertex 2]],GroupVertices[Vertex],0)),1,1,"")</f>
        <v>4</v>
      </c>
      <c r="AH362" s="49"/>
      <c r="AI362" s="50"/>
      <c r="AJ362" s="49"/>
      <c r="AK362" s="50"/>
      <c r="AL362" s="49"/>
      <c r="AM362" s="50"/>
      <c r="AN362" s="49"/>
      <c r="AO362" s="50"/>
      <c r="AP362" s="49"/>
    </row>
    <row r="363" spans="1:42" ht="15">
      <c r="A363" s="65" t="s">
        <v>558</v>
      </c>
      <c r="B363" s="65" t="s">
        <v>558</v>
      </c>
      <c r="C363" s="66" t="s">
        <v>2943</v>
      </c>
      <c r="D363" s="67">
        <v>4.4</v>
      </c>
      <c r="E363" s="68"/>
      <c r="F363" s="69">
        <v>35</v>
      </c>
      <c r="G363" s="66"/>
      <c r="H363" s="70"/>
      <c r="I363" s="71"/>
      <c r="J363" s="71"/>
      <c r="K363" s="35" t="s">
        <v>65</v>
      </c>
      <c r="L363" s="79">
        <v>363</v>
      </c>
      <c r="M363" s="79"/>
      <c r="N363" s="73"/>
      <c r="O363" s="81" t="s">
        <v>565</v>
      </c>
      <c r="P363" s="81"/>
      <c r="Q363" s="81"/>
      <c r="R363" s="81"/>
      <c r="S363" s="81"/>
      <c r="T363" s="81"/>
      <c r="U363" s="81"/>
      <c r="V363" s="81" t="s">
        <v>1131</v>
      </c>
      <c r="W363" s="86" t="str">
        <f>HYPERLINK("https://www.youtube.com/watch?v=3x-TXaTF3-Y")</f>
        <v>https://www.youtube.com/watch?v=3x-TXaTF3-Y</v>
      </c>
      <c r="X363" s="81"/>
      <c r="Y363" s="81"/>
      <c r="Z363" s="88">
        <v>44328.82902777778</v>
      </c>
      <c r="AA363" s="81"/>
      <c r="AB363" s="81"/>
      <c r="AC363" s="81"/>
      <c r="AD363" s="81"/>
      <c r="AE363">
        <v>2</v>
      </c>
      <c r="AF363" s="80" t="str">
        <f>REPLACE(INDEX(GroupVertices[Group],MATCH(Edges[[#This Row],[Vertex 1]],GroupVertices[Vertex],0)),1,1,"")</f>
        <v>4</v>
      </c>
      <c r="AG363" s="80" t="str">
        <f>REPLACE(INDEX(GroupVertices[Group],MATCH(Edges[[#This Row],[Vertex 2]],GroupVertices[Vertex],0)),1,1,"")</f>
        <v>4</v>
      </c>
      <c r="AH363" s="49"/>
      <c r="AI363" s="50"/>
      <c r="AJ363" s="49"/>
      <c r="AK363" s="50"/>
      <c r="AL363" s="49"/>
      <c r="AM363" s="50"/>
      <c r="AN363" s="49"/>
      <c r="AO363" s="50"/>
      <c r="AP363" s="49"/>
    </row>
    <row r="364" spans="1:42" ht="15">
      <c r="A364" s="65" t="s">
        <v>559</v>
      </c>
      <c r="B364" s="65" t="s">
        <v>559</v>
      </c>
      <c r="C364" s="66" t="s">
        <v>2942</v>
      </c>
      <c r="D364" s="67">
        <v>3</v>
      </c>
      <c r="E364" s="68"/>
      <c r="F364" s="69">
        <v>40</v>
      </c>
      <c r="G364" s="66"/>
      <c r="H364" s="70"/>
      <c r="I364" s="71"/>
      <c r="J364" s="71"/>
      <c r="K364" s="35" t="s">
        <v>65</v>
      </c>
      <c r="L364" s="79">
        <v>364</v>
      </c>
      <c r="M364" s="79"/>
      <c r="N364" s="73"/>
      <c r="O364" s="81" t="s">
        <v>565</v>
      </c>
      <c r="P364" s="81"/>
      <c r="Q364" s="81"/>
      <c r="R364" s="81"/>
      <c r="S364" s="81"/>
      <c r="T364" s="81"/>
      <c r="U364" s="81"/>
      <c r="V364" s="81" t="s">
        <v>1123</v>
      </c>
      <c r="W364" s="86" t="str">
        <f>HYPERLINK("https://www.youtube.com/watch?v=o53sJ939r7A")</f>
        <v>https://www.youtube.com/watch?v=o53sJ939r7A</v>
      </c>
      <c r="X364" s="81"/>
      <c r="Y364" s="81"/>
      <c r="Z364" s="88">
        <v>43893.549259259256</v>
      </c>
      <c r="AA364" s="81"/>
      <c r="AB364" s="81"/>
      <c r="AC364" s="81"/>
      <c r="AD364" s="81"/>
      <c r="AE364">
        <v>1</v>
      </c>
      <c r="AF364" s="80" t="str">
        <f>REPLACE(INDEX(GroupVertices[Group],MATCH(Edges[[#This Row],[Vertex 1]],GroupVertices[Vertex],0)),1,1,"")</f>
        <v>12</v>
      </c>
      <c r="AG364" s="80" t="str">
        <f>REPLACE(INDEX(GroupVertices[Group],MATCH(Edges[[#This Row],[Vertex 2]],GroupVertices[Vertex],0)),1,1,"")</f>
        <v>12</v>
      </c>
      <c r="AH364" s="49"/>
      <c r="AI364" s="50"/>
      <c r="AJ364" s="49"/>
      <c r="AK364" s="50"/>
      <c r="AL364" s="49"/>
      <c r="AM364" s="50"/>
      <c r="AN364" s="49"/>
      <c r="AO364" s="50"/>
      <c r="AP364" s="49"/>
    </row>
    <row r="365" spans="1:42" ht="15">
      <c r="A365" s="65" t="s">
        <v>468</v>
      </c>
      <c r="B365" s="65" t="s">
        <v>468</v>
      </c>
      <c r="C365" s="66" t="s">
        <v>2942</v>
      </c>
      <c r="D365" s="67">
        <v>3</v>
      </c>
      <c r="E365" s="68"/>
      <c r="F365" s="69">
        <v>40</v>
      </c>
      <c r="G365" s="66"/>
      <c r="H365" s="70"/>
      <c r="I365" s="71"/>
      <c r="J365" s="71"/>
      <c r="K365" s="35" t="s">
        <v>65</v>
      </c>
      <c r="L365" s="79">
        <v>365</v>
      </c>
      <c r="M365" s="79"/>
      <c r="N365" s="73"/>
      <c r="O365" s="81" t="s">
        <v>565</v>
      </c>
      <c r="P365" s="81"/>
      <c r="Q365" s="81"/>
      <c r="R365" s="81"/>
      <c r="S365" s="81"/>
      <c r="T365" s="81"/>
      <c r="U365" s="81"/>
      <c r="V365" s="81" t="s">
        <v>1125</v>
      </c>
      <c r="W365" s="86" t="str">
        <f>HYPERLINK("https://www.youtube.com/watch?v=THdrju-UWjo")</f>
        <v>https://www.youtube.com/watch?v=THdrju-UWjo</v>
      </c>
      <c r="X365" s="81"/>
      <c r="Y365" s="81"/>
      <c r="Z365" s="88">
        <v>44210.203252314815</v>
      </c>
      <c r="AA365" s="81"/>
      <c r="AB365" s="81"/>
      <c r="AC365" s="81"/>
      <c r="AD365" s="81"/>
      <c r="AE365">
        <v>1</v>
      </c>
      <c r="AF365" s="80" t="str">
        <f>REPLACE(INDEX(GroupVertices[Group],MATCH(Edges[[#This Row],[Vertex 1]],GroupVertices[Vertex],0)),1,1,"")</f>
        <v>4</v>
      </c>
      <c r="AG365" s="80" t="str">
        <f>REPLACE(INDEX(GroupVertices[Group],MATCH(Edges[[#This Row],[Vertex 2]],GroupVertices[Vertex],0)),1,1,"")</f>
        <v>4</v>
      </c>
      <c r="AH365" s="49"/>
      <c r="AI365" s="50"/>
      <c r="AJ365" s="49"/>
      <c r="AK365" s="50"/>
      <c r="AL365" s="49"/>
      <c r="AM365" s="50"/>
      <c r="AN365" s="49"/>
      <c r="AO365" s="50"/>
      <c r="AP365" s="49"/>
    </row>
    <row r="366" spans="1:42" ht="15">
      <c r="A366" s="65" t="s">
        <v>560</v>
      </c>
      <c r="B366" s="65" t="s">
        <v>560</v>
      </c>
      <c r="C366" s="66" t="s">
        <v>2948</v>
      </c>
      <c r="D366" s="67">
        <v>8.6</v>
      </c>
      <c r="E366" s="68"/>
      <c r="F366" s="69">
        <v>20</v>
      </c>
      <c r="G366" s="66"/>
      <c r="H366" s="70"/>
      <c r="I366" s="71"/>
      <c r="J366" s="71"/>
      <c r="K366" s="35" t="s">
        <v>65</v>
      </c>
      <c r="L366" s="79">
        <v>366</v>
      </c>
      <c r="M366" s="79"/>
      <c r="N366" s="73"/>
      <c r="O366" s="81" t="s">
        <v>565</v>
      </c>
      <c r="P366" s="81"/>
      <c r="Q366" s="81"/>
      <c r="R366" s="81"/>
      <c r="S366" s="81"/>
      <c r="T366" s="81"/>
      <c r="U366" s="81"/>
      <c r="V366" s="81" t="s">
        <v>1179</v>
      </c>
      <c r="W366" s="86" t="str">
        <f>HYPERLINK("https://www.youtube.com/watch?v=b6cQRd_1Umg")</f>
        <v>https://www.youtube.com/watch?v=b6cQRd_1Umg</v>
      </c>
      <c r="X366" s="81"/>
      <c r="Y366" s="81"/>
      <c r="Z366" s="88">
        <v>44712.70118055555</v>
      </c>
      <c r="AA366" s="81"/>
      <c r="AB366" s="81"/>
      <c r="AC366" s="81"/>
      <c r="AD366" s="81"/>
      <c r="AE366">
        <v>5</v>
      </c>
      <c r="AF366" s="80" t="str">
        <f>REPLACE(INDEX(GroupVertices[Group],MATCH(Edges[[#This Row],[Vertex 1]],GroupVertices[Vertex],0)),1,1,"")</f>
        <v>4</v>
      </c>
      <c r="AG366" s="80" t="str">
        <f>REPLACE(INDEX(GroupVertices[Group],MATCH(Edges[[#This Row],[Vertex 2]],GroupVertices[Vertex],0)),1,1,"")</f>
        <v>4</v>
      </c>
      <c r="AH366" s="49"/>
      <c r="AI366" s="50"/>
      <c r="AJ366" s="49"/>
      <c r="AK366" s="50"/>
      <c r="AL366" s="49"/>
      <c r="AM366" s="50"/>
      <c r="AN366" s="49"/>
      <c r="AO366" s="50"/>
      <c r="AP366" s="49"/>
    </row>
    <row r="367" spans="1:42" ht="15">
      <c r="A367" s="65" t="s">
        <v>560</v>
      </c>
      <c r="B367" s="65" t="s">
        <v>560</v>
      </c>
      <c r="C367" s="66" t="s">
        <v>2948</v>
      </c>
      <c r="D367" s="67">
        <v>8.6</v>
      </c>
      <c r="E367" s="68"/>
      <c r="F367" s="69">
        <v>20</v>
      </c>
      <c r="G367" s="66"/>
      <c r="H367" s="70"/>
      <c r="I367" s="71"/>
      <c r="J367" s="71"/>
      <c r="K367" s="35" t="s">
        <v>65</v>
      </c>
      <c r="L367" s="79">
        <v>367</v>
      </c>
      <c r="M367" s="79"/>
      <c r="N367" s="73"/>
      <c r="O367" s="81" t="s">
        <v>565</v>
      </c>
      <c r="P367" s="81"/>
      <c r="Q367" s="81"/>
      <c r="R367" s="81"/>
      <c r="S367" s="81"/>
      <c r="T367" s="81"/>
      <c r="U367" s="81"/>
      <c r="V367" s="81" t="s">
        <v>1180</v>
      </c>
      <c r="W367" s="86" t="str">
        <f>HYPERLINK("https://www.youtube.com/watch?v=JiEZOB3VElw")</f>
        <v>https://www.youtube.com/watch?v=JiEZOB3VElw</v>
      </c>
      <c r="X367" s="81"/>
      <c r="Y367" s="81"/>
      <c r="Z367" s="88">
        <v>44026.66577546296</v>
      </c>
      <c r="AA367" s="81"/>
      <c r="AB367" s="81"/>
      <c r="AC367" s="81"/>
      <c r="AD367" s="81"/>
      <c r="AE367">
        <v>5</v>
      </c>
      <c r="AF367" s="80" t="str">
        <f>REPLACE(INDEX(GroupVertices[Group],MATCH(Edges[[#This Row],[Vertex 1]],GroupVertices[Vertex],0)),1,1,"")</f>
        <v>4</v>
      </c>
      <c r="AG367" s="80" t="str">
        <f>REPLACE(INDEX(GroupVertices[Group],MATCH(Edges[[#This Row],[Vertex 2]],GroupVertices[Vertex],0)),1,1,"")</f>
        <v>4</v>
      </c>
      <c r="AH367" s="49"/>
      <c r="AI367" s="50"/>
      <c r="AJ367" s="49"/>
      <c r="AK367" s="50"/>
      <c r="AL367" s="49"/>
      <c r="AM367" s="50"/>
      <c r="AN367" s="49"/>
      <c r="AO367" s="50"/>
      <c r="AP367" s="49"/>
    </row>
    <row r="368" spans="1:42" ht="15">
      <c r="A368" s="65" t="s">
        <v>560</v>
      </c>
      <c r="B368" s="65" t="s">
        <v>560</v>
      </c>
      <c r="C368" s="66" t="s">
        <v>2948</v>
      </c>
      <c r="D368" s="67">
        <v>8.6</v>
      </c>
      <c r="E368" s="68"/>
      <c r="F368" s="69">
        <v>20</v>
      </c>
      <c r="G368" s="66"/>
      <c r="H368" s="70"/>
      <c r="I368" s="71"/>
      <c r="J368" s="71"/>
      <c r="K368" s="35" t="s">
        <v>65</v>
      </c>
      <c r="L368" s="79">
        <v>368</v>
      </c>
      <c r="M368" s="79"/>
      <c r="N368" s="73"/>
      <c r="O368" s="81" t="s">
        <v>565</v>
      </c>
      <c r="P368" s="81"/>
      <c r="Q368" s="81"/>
      <c r="R368" s="81"/>
      <c r="S368" s="81"/>
      <c r="T368" s="81"/>
      <c r="U368" s="81"/>
      <c r="V368" s="81" t="s">
        <v>1118</v>
      </c>
      <c r="W368" s="86" t="str">
        <f>HYPERLINK("https://www.youtube.com/watch?v=mjAq8eA7uOM")</f>
        <v>https://www.youtube.com/watch?v=mjAq8eA7uOM</v>
      </c>
      <c r="X368" s="81"/>
      <c r="Y368" s="81"/>
      <c r="Z368" s="88">
        <v>42922.659780092596</v>
      </c>
      <c r="AA368" s="81"/>
      <c r="AB368" s="81"/>
      <c r="AC368" s="81"/>
      <c r="AD368" s="81"/>
      <c r="AE368">
        <v>5</v>
      </c>
      <c r="AF368" s="80" t="str">
        <f>REPLACE(INDEX(GroupVertices[Group],MATCH(Edges[[#This Row],[Vertex 1]],GroupVertices[Vertex],0)),1,1,"")</f>
        <v>4</v>
      </c>
      <c r="AG368" s="80" t="str">
        <f>REPLACE(INDEX(GroupVertices[Group],MATCH(Edges[[#This Row],[Vertex 2]],GroupVertices[Vertex],0)),1,1,"")</f>
        <v>4</v>
      </c>
      <c r="AH368" s="49"/>
      <c r="AI368" s="50"/>
      <c r="AJ368" s="49"/>
      <c r="AK368" s="50"/>
      <c r="AL368" s="49"/>
      <c r="AM368" s="50"/>
      <c r="AN368" s="49"/>
      <c r="AO368" s="50"/>
      <c r="AP368" s="49"/>
    </row>
    <row r="369" spans="1:42" ht="15">
      <c r="A369" s="65" t="s">
        <v>560</v>
      </c>
      <c r="B369" s="65" t="s">
        <v>560</v>
      </c>
      <c r="C369" s="66" t="s">
        <v>2948</v>
      </c>
      <c r="D369" s="67">
        <v>8.6</v>
      </c>
      <c r="E369" s="68"/>
      <c r="F369" s="69">
        <v>20</v>
      </c>
      <c r="G369" s="66"/>
      <c r="H369" s="70"/>
      <c r="I369" s="71"/>
      <c r="J369" s="71"/>
      <c r="K369" s="35" t="s">
        <v>65</v>
      </c>
      <c r="L369" s="79">
        <v>369</v>
      </c>
      <c r="M369" s="79"/>
      <c r="N369" s="73"/>
      <c r="O369" s="81" t="s">
        <v>565</v>
      </c>
      <c r="P369" s="81"/>
      <c r="Q369" s="81"/>
      <c r="R369" s="81"/>
      <c r="S369" s="81"/>
      <c r="T369" s="81"/>
      <c r="U369" s="81"/>
      <c r="V369" s="81" t="s">
        <v>1122</v>
      </c>
      <c r="W369" s="86" t="str">
        <f>HYPERLINK("https://www.youtube.com/watch?v=l0n5rKT0ztI")</f>
        <v>https://www.youtube.com/watch?v=l0n5rKT0ztI</v>
      </c>
      <c r="X369" s="81"/>
      <c r="Y369" s="81"/>
      <c r="Z369" s="88">
        <v>44138.78126157408</v>
      </c>
      <c r="AA369" s="81"/>
      <c r="AB369" s="81"/>
      <c r="AC369" s="81"/>
      <c r="AD369" s="81"/>
      <c r="AE369">
        <v>5</v>
      </c>
      <c r="AF369" s="80" t="str">
        <f>REPLACE(INDEX(GroupVertices[Group],MATCH(Edges[[#This Row],[Vertex 1]],GroupVertices[Vertex],0)),1,1,"")</f>
        <v>4</v>
      </c>
      <c r="AG369" s="80" t="str">
        <f>REPLACE(INDEX(GroupVertices[Group],MATCH(Edges[[#This Row],[Vertex 2]],GroupVertices[Vertex],0)),1,1,"")</f>
        <v>4</v>
      </c>
      <c r="AH369" s="49"/>
      <c r="AI369" s="50"/>
      <c r="AJ369" s="49"/>
      <c r="AK369" s="50"/>
      <c r="AL369" s="49"/>
      <c r="AM369" s="50"/>
      <c r="AN369" s="49"/>
      <c r="AO369" s="50"/>
      <c r="AP369" s="49"/>
    </row>
    <row r="370" spans="1:42" ht="15">
      <c r="A370" s="65" t="s">
        <v>560</v>
      </c>
      <c r="B370" s="65" t="s">
        <v>560</v>
      </c>
      <c r="C370" s="66" t="s">
        <v>2948</v>
      </c>
      <c r="D370" s="67">
        <v>8.6</v>
      </c>
      <c r="E370" s="68"/>
      <c r="F370" s="69">
        <v>20</v>
      </c>
      <c r="G370" s="66"/>
      <c r="H370" s="70"/>
      <c r="I370" s="71"/>
      <c r="J370" s="71"/>
      <c r="K370" s="35" t="s">
        <v>65</v>
      </c>
      <c r="L370" s="79">
        <v>370</v>
      </c>
      <c r="M370" s="79"/>
      <c r="N370" s="73"/>
      <c r="O370" s="81" t="s">
        <v>565</v>
      </c>
      <c r="P370" s="81"/>
      <c r="Q370" s="81"/>
      <c r="R370" s="81"/>
      <c r="S370" s="81"/>
      <c r="T370" s="81"/>
      <c r="U370" s="81"/>
      <c r="V370" s="81" t="s">
        <v>1132</v>
      </c>
      <c r="W370" s="86" t="str">
        <f>HYPERLINK("https://www.youtube.com/watch?v=8lDndBPEDj4")</f>
        <v>https://www.youtube.com/watch?v=8lDndBPEDj4</v>
      </c>
      <c r="X370" s="81"/>
      <c r="Y370" s="81"/>
      <c r="Z370" s="88">
        <v>44236.72523148148</v>
      </c>
      <c r="AA370" s="81"/>
      <c r="AB370" s="81"/>
      <c r="AC370" s="81"/>
      <c r="AD370" s="81"/>
      <c r="AE370">
        <v>5</v>
      </c>
      <c r="AF370" s="80" t="str">
        <f>REPLACE(INDEX(GroupVertices[Group],MATCH(Edges[[#This Row],[Vertex 1]],GroupVertices[Vertex],0)),1,1,"")</f>
        <v>4</v>
      </c>
      <c r="AG370" s="80" t="str">
        <f>REPLACE(INDEX(GroupVertices[Group],MATCH(Edges[[#This Row],[Vertex 2]],GroupVertices[Vertex],0)),1,1,"")</f>
        <v>4</v>
      </c>
      <c r="AH370" s="49"/>
      <c r="AI370" s="50"/>
      <c r="AJ370" s="49"/>
      <c r="AK370" s="50"/>
      <c r="AL370" s="49"/>
      <c r="AM370" s="50"/>
      <c r="AN370" s="49"/>
      <c r="AO370" s="50"/>
      <c r="AP370" s="49"/>
    </row>
    <row r="371" spans="1:42" ht="15">
      <c r="A371" s="65" t="s">
        <v>369</v>
      </c>
      <c r="B371" s="65" t="s">
        <v>369</v>
      </c>
      <c r="C371" s="66" t="s">
        <v>2950</v>
      </c>
      <c r="D371" s="67">
        <v>10</v>
      </c>
      <c r="E371" s="68"/>
      <c r="F371" s="69">
        <v>15</v>
      </c>
      <c r="G371" s="66"/>
      <c r="H371" s="70"/>
      <c r="I371" s="71"/>
      <c r="J371" s="71"/>
      <c r="K371" s="35" t="s">
        <v>65</v>
      </c>
      <c r="L371" s="79">
        <v>371</v>
      </c>
      <c r="M371" s="79"/>
      <c r="N371" s="73"/>
      <c r="O371" s="81" t="s">
        <v>563</v>
      </c>
      <c r="P371" s="81" t="s">
        <v>325</v>
      </c>
      <c r="Q371" s="84" t="s">
        <v>848</v>
      </c>
      <c r="R371" s="81" t="s">
        <v>369</v>
      </c>
      <c r="S371" s="81" t="s">
        <v>882</v>
      </c>
      <c r="T371" s="86" t="str">
        <f>HYPERLINK("http://www.youtube.com/channel/UCerAw4EfTOnYYxLLPZAzMxQ")</f>
        <v>http://www.youtube.com/channel/UCerAw4EfTOnYYxLLPZAzMxQ</v>
      </c>
      <c r="U371" s="81"/>
      <c r="V371" s="81" t="s">
        <v>1116</v>
      </c>
      <c r="W371" s="86" t="str">
        <f>HYPERLINK("https://www.youtube.com/watch?v=t8YHRVf60BU")</f>
        <v>https://www.youtube.com/watch?v=t8YHRVf60BU</v>
      </c>
      <c r="X371" s="81" t="s">
        <v>1183</v>
      </c>
      <c r="Y371" s="81">
        <v>0</v>
      </c>
      <c r="Z371" s="88">
        <v>41161.850625</v>
      </c>
      <c r="AA371" s="88">
        <v>41161.850625</v>
      </c>
      <c r="AB371" s="81"/>
      <c r="AC371" s="81"/>
      <c r="AD371" s="84" t="s">
        <v>1239</v>
      </c>
      <c r="AE371" s="82">
        <v>17</v>
      </c>
      <c r="AF371" s="83" t="str">
        <f>REPLACE(INDEX(GroupVertices[Group],MATCH(Edges[[#This Row],[Vertex 1]],GroupVertices[Vertex],0)),1,1,"")</f>
        <v>1</v>
      </c>
      <c r="AG371" s="83" t="str">
        <f>REPLACE(INDEX(GroupVertices[Group],MATCH(Edges[[#This Row],[Vertex 2]],GroupVertices[Vertex],0)),1,1,"")</f>
        <v>1</v>
      </c>
      <c r="AH371" s="111">
        <v>2</v>
      </c>
      <c r="AI371" s="112">
        <v>8</v>
      </c>
      <c r="AJ371" s="111">
        <v>0</v>
      </c>
      <c r="AK371" s="112">
        <v>0</v>
      </c>
      <c r="AL371" s="111">
        <v>0</v>
      </c>
      <c r="AM371" s="112">
        <v>0</v>
      </c>
      <c r="AN371" s="111">
        <v>23</v>
      </c>
      <c r="AO371" s="112">
        <v>92</v>
      </c>
      <c r="AP371" s="111">
        <v>25</v>
      </c>
    </row>
    <row r="372" spans="1:42" ht="15">
      <c r="A372" s="65" t="s">
        <v>369</v>
      </c>
      <c r="B372" s="65" t="s">
        <v>369</v>
      </c>
      <c r="C372" s="66" t="s">
        <v>2950</v>
      </c>
      <c r="D372" s="67">
        <v>10</v>
      </c>
      <c r="E372" s="68"/>
      <c r="F372" s="69">
        <v>15</v>
      </c>
      <c r="G372" s="66"/>
      <c r="H372" s="70"/>
      <c r="I372" s="71"/>
      <c r="J372" s="71"/>
      <c r="K372" s="35" t="s">
        <v>65</v>
      </c>
      <c r="L372" s="79">
        <v>372</v>
      </c>
      <c r="M372" s="79"/>
      <c r="N372" s="73"/>
      <c r="O372" s="81" t="s">
        <v>563</v>
      </c>
      <c r="P372" s="81" t="s">
        <v>325</v>
      </c>
      <c r="Q372" s="84" t="s">
        <v>849</v>
      </c>
      <c r="R372" s="81" t="s">
        <v>369</v>
      </c>
      <c r="S372" s="81" t="s">
        <v>882</v>
      </c>
      <c r="T372" s="86" t="str">
        <f>HYPERLINK("http://www.youtube.com/channel/UCerAw4EfTOnYYxLLPZAzMxQ")</f>
        <v>http://www.youtube.com/channel/UCerAw4EfTOnYYxLLPZAzMxQ</v>
      </c>
      <c r="U372" s="81"/>
      <c r="V372" s="81" t="s">
        <v>1124</v>
      </c>
      <c r="W372" s="86" t="str">
        <f>HYPERLINK("https://www.youtube.com/watch?v=08MqGSL9TNQ")</f>
        <v>https://www.youtube.com/watch?v=08MqGSL9TNQ</v>
      </c>
      <c r="X372" s="81" t="s">
        <v>1183</v>
      </c>
      <c r="Y372" s="81">
        <v>0</v>
      </c>
      <c r="Z372" s="88">
        <v>41551.543854166666</v>
      </c>
      <c r="AA372" s="88">
        <v>41551.543854166666</v>
      </c>
      <c r="AB372" s="81"/>
      <c r="AC372" s="81"/>
      <c r="AD372" s="84" t="s">
        <v>1239</v>
      </c>
      <c r="AE372" s="82">
        <v>17</v>
      </c>
      <c r="AF372" s="83" t="str">
        <f>REPLACE(INDEX(GroupVertices[Group],MATCH(Edges[[#This Row],[Vertex 1]],GroupVertices[Vertex],0)),1,1,"")</f>
        <v>1</v>
      </c>
      <c r="AG372" s="83" t="str">
        <f>REPLACE(INDEX(GroupVertices[Group],MATCH(Edges[[#This Row],[Vertex 2]],GroupVertices[Vertex],0)),1,1,"")</f>
        <v>1</v>
      </c>
      <c r="AH372" s="111">
        <v>3</v>
      </c>
      <c r="AI372" s="112">
        <v>4.411764705882353</v>
      </c>
      <c r="AJ372" s="111">
        <v>0</v>
      </c>
      <c r="AK372" s="112">
        <v>0</v>
      </c>
      <c r="AL372" s="111">
        <v>0</v>
      </c>
      <c r="AM372" s="112">
        <v>0</v>
      </c>
      <c r="AN372" s="111">
        <v>65</v>
      </c>
      <c r="AO372" s="112">
        <v>95.58823529411765</v>
      </c>
      <c r="AP372" s="111">
        <v>68</v>
      </c>
    </row>
    <row r="373" spans="1:42" ht="15">
      <c r="A373" s="65" t="s">
        <v>369</v>
      </c>
      <c r="B373" s="65" t="s">
        <v>369</v>
      </c>
      <c r="C373" s="66" t="s">
        <v>2950</v>
      </c>
      <c r="D373" s="67">
        <v>10</v>
      </c>
      <c r="E373" s="68"/>
      <c r="F373" s="69">
        <v>15</v>
      </c>
      <c r="G373" s="66"/>
      <c r="H373" s="70"/>
      <c r="I373" s="71"/>
      <c r="J373" s="71"/>
      <c r="K373" s="35" t="s">
        <v>65</v>
      </c>
      <c r="L373" s="79">
        <v>373</v>
      </c>
      <c r="M373" s="79"/>
      <c r="N373" s="73"/>
      <c r="O373" s="81" t="s">
        <v>563</v>
      </c>
      <c r="P373" s="81" t="s">
        <v>325</v>
      </c>
      <c r="Q373" s="84" t="s">
        <v>850</v>
      </c>
      <c r="R373" s="81" t="s">
        <v>369</v>
      </c>
      <c r="S373" s="81" t="s">
        <v>882</v>
      </c>
      <c r="T373" s="86" t="str">
        <f>HYPERLINK("http://www.youtube.com/channel/UCerAw4EfTOnYYxLLPZAzMxQ")</f>
        <v>http://www.youtube.com/channel/UCerAw4EfTOnYYxLLPZAzMxQ</v>
      </c>
      <c r="U373" s="81"/>
      <c r="V373" s="81" t="s">
        <v>1126</v>
      </c>
      <c r="W373" s="86" t="str">
        <f>HYPERLINK("https://www.youtube.com/watch?v=Gs4NPuKIXdo")</f>
        <v>https://www.youtube.com/watch?v=Gs4NPuKIXdo</v>
      </c>
      <c r="X373" s="81" t="s">
        <v>1183</v>
      </c>
      <c r="Y373" s="81">
        <v>0</v>
      </c>
      <c r="Z373" s="88">
        <v>43437.627384259256</v>
      </c>
      <c r="AA373" s="88">
        <v>43437.627384259256</v>
      </c>
      <c r="AB373" s="81" t="s">
        <v>1200</v>
      </c>
      <c r="AC373" s="81" t="s">
        <v>1231</v>
      </c>
      <c r="AD373" s="84" t="s">
        <v>1239</v>
      </c>
      <c r="AE373" s="82">
        <v>17</v>
      </c>
      <c r="AF373" s="83" t="str">
        <f>REPLACE(INDEX(GroupVertices[Group],MATCH(Edges[[#This Row],[Vertex 1]],GroupVertices[Vertex],0)),1,1,"")</f>
        <v>1</v>
      </c>
      <c r="AG373" s="83" t="str">
        <f>REPLACE(INDEX(GroupVertices[Group],MATCH(Edges[[#This Row],[Vertex 2]],GroupVertices[Vertex],0)),1,1,"")</f>
        <v>1</v>
      </c>
      <c r="AH373" s="111">
        <v>0</v>
      </c>
      <c r="AI373" s="112">
        <v>0</v>
      </c>
      <c r="AJ373" s="111">
        <v>0</v>
      </c>
      <c r="AK373" s="112">
        <v>0</v>
      </c>
      <c r="AL373" s="111">
        <v>0</v>
      </c>
      <c r="AM373" s="112">
        <v>0</v>
      </c>
      <c r="AN373" s="111">
        <v>35</v>
      </c>
      <c r="AO373" s="112">
        <v>100</v>
      </c>
      <c r="AP373" s="111">
        <v>35</v>
      </c>
    </row>
    <row r="374" spans="1:42" ht="15">
      <c r="A374" s="65" t="s">
        <v>369</v>
      </c>
      <c r="B374" s="65" t="s">
        <v>369</v>
      </c>
      <c r="C374" s="66" t="s">
        <v>2950</v>
      </c>
      <c r="D374" s="67">
        <v>10</v>
      </c>
      <c r="E374" s="68"/>
      <c r="F374" s="69">
        <v>15</v>
      </c>
      <c r="G374" s="66"/>
      <c r="H374" s="70"/>
      <c r="I374" s="71"/>
      <c r="J374" s="71"/>
      <c r="K374" s="35" t="s">
        <v>65</v>
      </c>
      <c r="L374" s="79">
        <v>374</v>
      </c>
      <c r="M374" s="79"/>
      <c r="N374" s="73"/>
      <c r="O374" s="81" t="s">
        <v>565</v>
      </c>
      <c r="P374" s="81"/>
      <c r="Q374" s="81"/>
      <c r="R374" s="81"/>
      <c r="S374" s="81"/>
      <c r="T374" s="81"/>
      <c r="U374" s="81"/>
      <c r="V374" s="81" t="s">
        <v>1181</v>
      </c>
      <c r="W374" s="86" t="str">
        <f>HYPERLINK("https://www.youtube.com/watch?v=SUkcT9CYCMQ")</f>
        <v>https://www.youtube.com/watch?v=SUkcT9CYCMQ</v>
      </c>
      <c r="X374" s="81"/>
      <c r="Y374" s="81"/>
      <c r="Z374" s="88">
        <v>41736.92805555555</v>
      </c>
      <c r="AA374" s="81"/>
      <c r="AB374" s="81"/>
      <c r="AC374" s="81"/>
      <c r="AD374" s="81"/>
      <c r="AE374">
        <v>17</v>
      </c>
      <c r="AF374" s="80" t="str">
        <f>REPLACE(INDEX(GroupVertices[Group],MATCH(Edges[[#This Row],[Vertex 1]],GroupVertices[Vertex],0)),1,1,"")</f>
        <v>1</v>
      </c>
      <c r="AG374" s="80" t="str">
        <f>REPLACE(INDEX(GroupVertices[Group],MATCH(Edges[[#This Row],[Vertex 2]],GroupVertices[Vertex],0)),1,1,"")</f>
        <v>1</v>
      </c>
      <c r="AH374" s="49"/>
      <c r="AI374" s="50"/>
      <c r="AJ374" s="49"/>
      <c r="AK374" s="50"/>
      <c r="AL374" s="49"/>
      <c r="AM374" s="50"/>
      <c r="AN374" s="49"/>
      <c r="AO374" s="50"/>
      <c r="AP374" s="49"/>
    </row>
    <row r="375" spans="1:42" ht="15">
      <c r="A375" s="65" t="s">
        <v>369</v>
      </c>
      <c r="B375" s="65" t="s">
        <v>369</v>
      </c>
      <c r="C375" s="66" t="s">
        <v>2950</v>
      </c>
      <c r="D375" s="67">
        <v>10</v>
      </c>
      <c r="E375" s="68"/>
      <c r="F375" s="69">
        <v>15</v>
      </c>
      <c r="G375" s="66"/>
      <c r="H375" s="70"/>
      <c r="I375" s="71"/>
      <c r="J375" s="71"/>
      <c r="K375" s="35" t="s">
        <v>65</v>
      </c>
      <c r="L375" s="79">
        <v>375</v>
      </c>
      <c r="M375" s="79"/>
      <c r="N375" s="73"/>
      <c r="O375" s="81" t="s">
        <v>565</v>
      </c>
      <c r="P375" s="81"/>
      <c r="Q375" s="81"/>
      <c r="R375" s="81"/>
      <c r="S375" s="81"/>
      <c r="T375" s="81"/>
      <c r="U375" s="81"/>
      <c r="V375" s="81" t="s">
        <v>1097</v>
      </c>
      <c r="W375" s="86" t="str">
        <f>HYPERLINK("https://www.youtube.com/watch?v=vp7VXgvVAPg")</f>
        <v>https://www.youtube.com/watch?v=vp7VXgvVAPg</v>
      </c>
      <c r="X375" s="81"/>
      <c r="Y375" s="81"/>
      <c r="Z375" s="88">
        <v>41182.560902777775</v>
      </c>
      <c r="AA375" s="81"/>
      <c r="AB375" s="81"/>
      <c r="AC375" s="81"/>
      <c r="AD375" s="81"/>
      <c r="AE375">
        <v>17</v>
      </c>
      <c r="AF375" s="80" t="str">
        <f>REPLACE(INDEX(GroupVertices[Group],MATCH(Edges[[#This Row],[Vertex 1]],GroupVertices[Vertex],0)),1,1,"")</f>
        <v>1</v>
      </c>
      <c r="AG375" s="80" t="str">
        <f>REPLACE(INDEX(GroupVertices[Group],MATCH(Edges[[#This Row],[Vertex 2]],GroupVertices[Vertex],0)),1,1,"")</f>
        <v>1</v>
      </c>
      <c r="AH375" s="49"/>
      <c r="AI375" s="50"/>
      <c r="AJ375" s="49"/>
      <c r="AK375" s="50"/>
      <c r="AL375" s="49"/>
      <c r="AM375" s="50"/>
      <c r="AN375" s="49"/>
      <c r="AO375" s="50"/>
      <c r="AP375" s="49"/>
    </row>
    <row r="376" spans="1:42" ht="15">
      <c r="A376" s="65" t="s">
        <v>369</v>
      </c>
      <c r="B376" s="65" t="s">
        <v>369</v>
      </c>
      <c r="C376" s="66" t="s">
        <v>2950</v>
      </c>
      <c r="D376" s="67">
        <v>10</v>
      </c>
      <c r="E376" s="68"/>
      <c r="F376" s="69">
        <v>15</v>
      </c>
      <c r="G376" s="66"/>
      <c r="H376" s="70"/>
      <c r="I376" s="71"/>
      <c r="J376" s="71"/>
      <c r="K376" s="35" t="s">
        <v>65</v>
      </c>
      <c r="L376" s="79">
        <v>376</v>
      </c>
      <c r="M376" s="79"/>
      <c r="N376" s="73"/>
      <c r="O376" s="81" t="s">
        <v>565</v>
      </c>
      <c r="P376" s="81"/>
      <c r="Q376" s="81"/>
      <c r="R376" s="81"/>
      <c r="S376" s="81"/>
      <c r="T376" s="81"/>
      <c r="U376" s="81"/>
      <c r="V376" s="81" t="s">
        <v>1182</v>
      </c>
      <c r="W376" s="86" t="str">
        <f>HYPERLINK("https://www.youtube.com/watch?v=lBqT_KdC7YQ")</f>
        <v>https://www.youtube.com/watch?v=lBqT_KdC7YQ</v>
      </c>
      <c r="X376" s="81"/>
      <c r="Y376" s="81"/>
      <c r="Z376" s="88">
        <v>41175.979421296295</v>
      </c>
      <c r="AA376" s="81"/>
      <c r="AB376" s="81"/>
      <c r="AC376" s="81"/>
      <c r="AD376" s="81"/>
      <c r="AE376">
        <v>17</v>
      </c>
      <c r="AF376" s="80" t="str">
        <f>REPLACE(INDEX(GroupVertices[Group],MATCH(Edges[[#This Row],[Vertex 1]],GroupVertices[Vertex],0)),1,1,"")</f>
        <v>1</v>
      </c>
      <c r="AG376" s="80" t="str">
        <f>REPLACE(INDEX(GroupVertices[Group],MATCH(Edges[[#This Row],[Vertex 2]],GroupVertices[Vertex],0)),1,1,"")</f>
        <v>1</v>
      </c>
      <c r="AH376" s="49"/>
      <c r="AI376" s="50"/>
      <c r="AJ376" s="49"/>
      <c r="AK376" s="50"/>
      <c r="AL376" s="49"/>
      <c r="AM376" s="50"/>
      <c r="AN376" s="49"/>
      <c r="AO376" s="50"/>
      <c r="AP376" s="49"/>
    </row>
    <row r="377" spans="1:42" ht="15">
      <c r="A377" s="65" t="s">
        <v>369</v>
      </c>
      <c r="B377" s="65" t="s">
        <v>369</v>
      </c>
      <c r="C377" s="66" t="s">
        <v>2950</v>
      </c>
      <c r="D377" s="67">
        <v>10</v>
      </c>
      <c r="E377" s="68"/>
      <c r="F377" s="69">
        <v>15</v>
      </c>
      <c r="G377" s="66"/>
      <c r="H377" s="70"/>
      <c r="I377" s="71"/>
      <c r="J377" s="71"/>
      <c r="K377" s="35" t="s">
        <v>65</v>
      </c>
      <c r="L377" s="79">
        <v>377</v>
      </c>
      <c r="M377" s="79"/>
      <c r="N377" s="73"/>
      <c r="O377" s="81" t="s">
        <v>565</v>
      </c>
      <c r="P377" s="81"/>
      <c r="Q377" s="81"/>
      <c r="R377" s="81"/>
      <c r="S377" s="81"/>
      <c r="T377" s="81"/>
      <c r="U377" s="81"/>
      <c r="V377" s="81" t="s">
        <v>1099</v>
      </c>
      <c r="W377" s="86" t="str">
        <f>HYPERLINK("https://www.youtube.com/watch?v=bCENPBWjEaE")</f>
        <v>https://www.youtube.com/watch?v=bCENPBWjEaE</v>
      </c>
      <c r="X377" s="81"/>
      <c r="Y377" s="81"/>
      <c r="Z377" s="88">
        <v>44299.18239583333</v>
      </c>
      <c r="AA377" s="81"/>
      <c r="AB377" s="81"/>
      <c r="AC377" s="81"/>
      <c r="AD377" s="81"/>
      <c r="AE377">
        <v>17</v>
      </c>
      <c r="AF377" s="80" t="str">
        <f>REPLACE(INDEX(GroupVertices[Group],MATCH(Edges[[#This Row],[Vertex 1]],GroupVertices[Vertex],0)),1,1,"")</f>
        <v>1</v>
      </c>
      <c r="AG377" s="80" t="str">
        <f>REPLACE(INDEX(GroupVertices[Group],MATCH(Edges[[#This Row],[Vertex 2]],GroupVertices[Vertex],0)),1,1,"")</f>
        <v>1</v>
      </c>
      <c r="AH377" s="49"/>
      <c r="AI377" s="50"/>
      <c r="AJ377" s="49"/>
      <c r="AK377" s="50"/>
      <c r="AL377" s="49"/>
      <c r="AM377" s="50"/>
      <c r="AN377" s="49"/>
      <c r="AO377" s="50"/>
      <c r="AP377" s="49"/>
    </row>
    <row r="378" spans="1:42" ht="15">
      <c r="A378" s="65" t="s">
        <v>369</v>
      </c>
      <c r="B378" s="65" t="s">
        <v>369</v>
      </c>
      <c r="C378" s="66" t="s">
        <v>2950</v>
      </c>
      <c r="D378" s="67">
        <v>10</v>
      </c>
      <c r="E378" s="68"/>
      <c r="F378" s="69">
        <v>15</v>
      </c>
      <c r="G378" s="66"/>
      <c r="H378" s="70"/>
      <c r="I378" s="71"/>
      <c r="J378" s="71"/>
      <c r="K378" s="35" t="s">
        <v>65</v>
      </c>
      <c r="L378" s="79">
        <v>378</v>
      </c>
      <c r="M378" s="79"/>
      <c r="N378" s="73"/>
      <c r="O378" s="81" t="s">
        <v>565</v>
      </c>
      <c r="P378" s="81"/>
      <c r="Q378" s="81"/>
      <c r="R378" s="81"/>
      <c r="S378" s="81"/>
      <c r="T378" s="81"/>
      <c r="U378" s="81"/>
      <c r="V378" s="81" t="s">
        <v>1105</v>
      </c>
      <c r="W378" s="86" t="str">
        <f>HYPERLINK("https://www.youtube.com/watch?v=lbb2lMCSg64")</f>
        <v>https://www.youtube.com/watch?v=lbb2lMCSg64</v>
      </c>
      <c r="X378" s="81"/>
      <c r="Y378" s="81"/>
      <c r="Z378" s="88">
        <v>41578.82792824074</v>
      </c>
      <c r="AA378" s="81"/>
      <c r="AB378" s="81"/>
      <c r="AC378" s="81"/>
      <c r="AD378" s="81"/>
      <c r="AE378">
        <v>17</v>
      </c>
      <c r="AF378" s="80" t="str">
        <f>REPLACE(INDEX(GroupVertices[Group],MATCH(Edges[[#This Row],[Vertex 1]],GroupVertices[Vertex],0)),1,1,"")</f>
        <v>1</v>
      </c>
      <c r="AG378" s="80" t="str">
        <f>REPLACE(INDEX(GroupVertices[Group],MATCH(Edges[[#This Row],[Vertex 2]],GroupVertices[Vertex],0)),1,1,"")</f>
        <v>1</v>
      </c>
      <c r="AH378" s="49"/>
      <c r="AI378" s="50"/>
      <c r="AJ378" s="49"/>
      <c r="AK378" s="50"/>
      <c r="AL378" s="49"/>
      <c r="AM378" s="50"/>
      <c r="AN378" s="49"/>
      <c r="AO378" s="50"/>
      <c r="AP378" s="49"/>
    </row>
    <row r="379" spans="1:42" ht="15">
      <c r="A379" s="65" t="s">
        <v>369</v>
      </c>
      <c r="B379" s="65" t="s">
        <v>369</v>
      </c>
      <c r="C379" s="66" t="s">
        <v>2950</v>
      </c>
      <c r="D379" s="67">
        <v>10</v>
      </c>
      <c r="E379" s="68"/>
      <c r="F379" s="69">
        <v>15</v>
      </c>
      <c r="G379" s="66"/>
      <c r="H379" s="70"/>
      <c r="I379" s="71"/>
      <c r="J379" s="71"/>
      <c r="K379" s="35" t="s">
        <v>65</v>
      </c>
      <c r="L379" s="79">
        <v>379</v>
      </c>
      <c r="M379" s="79"/>
      <c r="N379" s="73"/>
      <c r="O379" s="81" t="s">
        <v>565</v>
      </c>
      <c r="P379" s="81"/>
      <c r="Q379" s="81"/>
      <c r="R379" s="81"/>
      <c r="S379" s="81"/>
      <c r="T379" s="81"/>
      <c r="U379" s="81"/>
      <c r="V379" s="81" t="s">
        <v>1106</v>
      </c>
      <c r="W379" s="86" t="str">
        <f>HYPERLINK("https://www.youtube.com/watch?v=1yCjhTuLA1o")</f>
        <v>https://www.youtube.com/watch?v=1yCjhTuLA1o</v>
      </c>
      <c r="X379" s="81"/>
      <c r="Y379" s="81"/>
      <c r="Z379" s="88">
        <v>41532.54828703704</v>
      </c>
      <c r="AA379" s="81"/>
      <c r="AB379" s="81"/>
      <c r="AC379" s="81"/>
      <c r="AD379" s="81"/>
      <c r="AE379">
        <v>17</v>
      </c>
      <c r="AF379" s="80" t="str">
        <f>REPLACE(INDEX(GroupVertices[Group],MATCH(Edges[[#This Row],[Vertex 1]],GroupVertices[Vertex],0)),1,1,"")</f>
        <v>1</v>
      </c>
      <c r="AG379" s="80" t="str">
        <f>REPLACE(INDEX(GroupVertices[Group],MATCH(Edges[[#This Row],[Vertex 2]],GroupVertices[Vertex],0)),1,1,"")</f>
        <v>1</v>
      </c>
      <c r="AH379" s="49"/>
      <c r="AI379" s="50"/>
      <c r="AJ379" s="49"/>
      <c r="AK379" s="50"/>
      <c r="AL379" s="49"/>
      <c r="AM379" s="50"/>
      <c r="AN379" s="49"/>
      <c r="AO379" s="50"/>
      <c r="AP379" s="49"/>
    </row>
    <row r="380" spans="1:42" ht="15">
      <c r="A380" s="65" t="s">
        <v>369</v>
      </c>
      <c r="B380" s="65" t="s">
        <v>369</v>
      </c>
      <c r="C380" s="66" t="s">
        <v>2950</v>
      </c>
      <c r="D380" s="67">
        <v>10</v>
      </c>
      <c r="E380" s="68"/>
      <c r="F380" s="69">
        <v>15</v>
      </c>
      <c r="G380" s="66"/>
      <c r="H380" s="70"/>
      <c r="I380" s="71"/>
      <c r="J380" s="71"/>
      <c r="K380" s="35" t="s">
        <v>65</v>
      </c>
      <c r="L380" s="79">
        <v>380</v>
      </c>
      <c r="M380" s="79"/>
      <c r="N380" s="73"/>
      <c r="O380" s="81" t="s">
        <v>565</v>
      </c>
      <c r="P380" s="81"/>
      <c r="Q380" s="81"/>
      <c r="R380" s="81"/>
      <c r="S380" s="81"/>
      <c r="T380" s="81"/>
      <c r="U380" s="81"/>
      <c r="V380" s="81" t="s">
        <v>1107</v>
      </c>
      <c r="W380" s="86" t="str">
        <f>HYPERLINK("https://www.youtube.com/watch?v=AyMwPYpmYng")</f>
        <v>https://www.youtube.com/watch?v=AyMwPYpmYng</v>
      </c>
      <c r="X380" s="81"/>
      <c r="Y380" s="81"/>
      <c r="Z380" s="88">
        <v>42325.22400462963</v>
      </c>
      <c r="AA380" s="81"/>
      <c r="AB380" s="81"/>
      <c r="AC380" s="81"/>
      <c r="AD380" s="81"/>
      <c r="AE380">
        <v>17</v>
      </c>
      <c r="AF380" s="80" t="str">
        <f>REPLACE(INDEX(GroupVertices[Group],MATCH(Edges[[#This Row],[Vertex 1]],GroupVertices[Vertex],0)),1,1,"")</f>
        <v>1</v>
      </c>
      <c r="AG380" s="80" t="str">
        <f>REPLACE(INDEX(GroupVertices[Group],MATCH(Edges[[#This Row],[Vertex 2]],GroupVertices[Vertex],0)),1,1,"")</f>
        <v>1</v>
      </c>
      <c r="AH380" s="49"/>
      <c r="AI380" s="50"/>
      <c r="AJ380" s="49"/>
      <c r="AK380" s="50"/>
      <c r="AL380" s="49"/>
      <c r="AM380" s="50"/>
      <c r="AN380" s="49"/>
      <c r="AO380" s="50"/>
      <c r="AP380" s="49"/>
    </row>
    <row r="381" spans="1:42" ht="15">
      <c r="A381" s="65" t="s">
        <v>369</v>
      </c>
      <c r="B381" s="65" t="s">
        <v>369</v>
      </c>
      <c r="C381" s="66" t="s">
        <v>2950</v>
      </c>
      <c r="D381" s="67">
        <v>10</v>
      </c>
      <c r="E381" s="68"/>
      <c r="F381" s="69">
        <v>15</v>
      </c>
      <c r="G381" s="66"/>
      <c r="H381" s="70"/>
      <c r="I381" s="71"/>
      <c r="J381" s="71"/>
      <c r="K381" s="35" t="s">
        <v>65</v>
      </c>
      <c r="L381" s="79">
        <v>381</v>
      </c>
      <c r="M381" s="79"/>
      <c r="N381" s="73"/>
      <c r="O381" s="81" t="s">
        <v>565</v>
      </c>
      <c r="P381" s="81"/>
      <c r="Q381" s="81"/>
      <c r="R381" s="81"/>
      <c r="S381" s="81"/>
      <c r="T381" s="81"/>
      <c r="U381" s="81"/>
      <c r="V381" s="81" t="s">
        <v>1111</v>
      </c>
      <c r="W381" s="86" t="str">
        <f>HYPERLINK("https://www.youtube.com/watch?v=_ci5QaUkAfw")</f>
        <v>https://www.youtube.com/watch?v=_ci5QaUkAfw</v>
      </c>
      <c r="X381" s="81"/>
      <c r="Y381" s="81"/>
      <c r="Z381" s="88">
        <v>41674.15106481482</v>
      </c>
      <c r="AA381" s="81"/>
      <c r="AB381" s="81"/>
      <c r="AC381" s="81"/>
      <c r="AD381" s="81"/>
      <c r="AE381">
        <v>17</v>
      </c>
      <c r="AF381" s="80" t="str">
        <f>REPLACE(INDEX(GroupVertices[Group],MATCH(Edges[[#This Row],[Vertex 1]],GroupVertices[Vertex],0)),1,1,"")</f>
        <v>1</v>
      </c>
      <c r="AG381" s="80" t="str">
        <f>REPLACE(INDEX(GroupVertices[Group],MATCH(Edges[[#This Row],[Vertex 2]],GroupVertices[Vertex],0)),1,1,"")</f>
        <v>1</v>
      </c>
      <c r="AH381" s="49"/>
      <c r="AI381" s="50"/>
      <c r="AJ381" s="49"/>
      <c r="AK381" s="50"/>
      <c r="AL381" s="49"/>
      <c r="AM381" s="50"/>
      <c r="AN381" s="49"/>
      <c r="AO381" s="50"/>
      <c r="AP381" s="49"/>
    </row>
    <row r="382" spans="1:42" ht="15">
      <c r="A382" s="65" t="s">
        <v>369</v>
      </c>
      <c r="B382" s="65" t="s">
        <v>369</v>
      </c>
      <c r="C382" s="66" t="s">
        <v>2950</v>
      </c>
      <c r="D382" s="67">
        <v>10</v>
      </c>
      <c r="E382" s="68"/>
      <c r="F382" s="69">
        <v>15</v>
      </c>
      <c r="G382" s="66"/>
      <c r="H382" s="70"/>
      <c r="I382" s="71"/>
      <c r="J382" s="71"/>
      <c r="K382" s="35" t="s">
        <v>65</v>
      </c>
      <c r="L382" s="79">
        <v>382</v>
      </c>
      <c r="M382" s="79"/>
      <c r="N382" s="73"/>
      <c r="O382" s="81" t="s">
        <v>565</v>
      </c>
      <c r="P382" s="81"/>
      <c r="Q382" s="81"/>
      <c r="R382" s="81"/>
      <c r="S382" s="81"/>
      <c r="T382" s="81"/>
      <c r="U382" s="81"/>
      <c r="V382" s="81" t="s">
        <v>1115</v>
      </c>
      <c r="W382" s="86" t="str">
        <f>HYPERLINK("https://www.youtube.com/watch?v=CwQ8IrHZDgA")</f>
        <v>https://www.youtube.com/watch?v=CwQ8IrHZDgA</v>
      </c>
      <c r="X382" s="81"/>
      <c r="Y382" s="81"/>
      <c r="Z382" s="88">
        <v>42318.24689814815</v>
      </c>
      <c r="AA382" s="81"/>
      <c r="AB382" s="81"/>
      <c r="AC382" s="81"/>
      <c r="AD382" s="81"/>
      <c r="AE382">
        <v>17</v>
      </c>
      <c r="AF382" s="80" t="str">
        <f>REPLACE(INDEX(GroupVertices[Group],MATCH(Edges[[#This Row],[Vertex 1]],GroupVertices[Vertex],0)),1,1,"")</f>
        <v>1</v>
      </c>
      <c r="AG382" s="80" t="str">
        <f>REPLACE(INDEX(GroupVertices[Group],MATCH(Edges[[#This Row],[Vertex 2]],GroupVertices[Vertex],0)),1,1,"")</f>
        <v>1</v>
      </c>
      <c r="AH382" s="49"/>
      <c r="AI382" s="50"/>
      <c r="AJ382" s="49"/>
      <c r="AK382" s="50"/>
      <c r="AL382" s="49"/>
      <c r="AM382" s="50"/>
      <c r="AN382" s="49"/>
      <c r="AO382" s="50"/>
      <c r="AP382" s="49"/>
    </row>
    <row r="383" spans="1:42" ht="15">
      <c r="A383" s="65" t="s">
        <v>369</v>
      </c>
      <c r="B383" s="65" t="s">
        <v>369</v>
      </c>
      <c r="C383" s="66" t="s">
        <v>2950</v>
      </c>
      <c r="D383" s="67">
        <v>10</v>
      </c>
      <c r="E383" s="68"/>
      <c r="F383" s="69">
        <v>15</v>
      </c>
      <c r="G383" s="66"/>
      <c r="H383" s="70"/>
      <c r="I383" s="71"/>
      <c r="J383" s="71"/>
      <c r="K383" s="35" t="s">
        <v>65</v>
      </c>
      <c r="L383" s="79">
        <v>383</v>
      </c>
      <c r="M383" s="79"/>
      <c r="N383" s="73"/>
      <c r="O383" s="81" t="s">
        <v>565</v>
      </c>
      <c r="P383" s="81"/>
      <c r="Q383" s="81"/>
      <c r="R383" s="81"/>
      <c r="S383" s="81"/>
      <c r="T383" s="81"/>
      <c r="U383" s="81"/>
      <c r="V383" s="81" t="s">
        <v>1116</v>
      </c>
      <c r="W383" s="86" t="str">
        <f>HYPERLINK("https://www.youtube.com/watch?v=t8YHRVf60BU")</f>
        <v>https://www.youtube.com/watch?v=t8YHRVf60BU</v>
      </c>
      <c r="X383" s="81"/>
      <c r="Y383" s="81"/>
      <c r="Z383" s="88">
        <v>41160.96424768519</v>
      </c>
      <c r="AA383" s="81"/>
      <c r="AB383" s="81"/>
      <c r="AC383" s="81"/>
      <c r="AD383" s="81"/>
      <c r="AE383">
        <v>17</v>
      </c>
      <c r="AF383" s="80" t="str">
        <f>REPLACE(INDEX(GroupVertices[Group],MATCH(Edges[[#This Row],[Vertex 1]],GroupVertices[Vertex],0)),1,1,"")</f>
        <v>1</v>
      </c>
      <c r="AG383" s="80" t="str">
        <f>REPLACE(INDEX(GroupVertices[Group],MATCH(Edges[[#This Row],[Vertex 2]],GroupVertices[Vertex],0)),1,1,"")</f>
        <v>1</v>
      </c>
      <c r="AH383" s="49"/>
      <c r="AI383" s="50"/>
      <c r="AJ383" s="49"/>
      <c r="AK383" s="50"/>
      <c r="AL383" s="49"/>
      <c r="AM383" s="50"/>
      <c r="AN383" s="49"/>
      <c r="AO383" s="50"/>
      <c r="AP383" s="49"/>
    </row>
    <row r="384" spans="1:42" ht="15">
      <c r="A384" s="65" t="s">
        <v>369</v>
      </c>
      <c r="B384" s="65" t="s">
        <v>369</v>
      </c>
      <c r="C384" s="66" t="s">
        <v>2950</v>
      </c>
      <c r="D384" s="67">
        <v>10</v>
      </c>
      <c r="E384" s="68"/>
      <c r="F384" s="69">
        <v>15</v>
      </c>
      <c r="G384" s="66"/>
      <c r="H384" s="70"/>
      <c r="I384" s="71"/>
      <c r="J384" s="71"/>
      <c r="K384" s="35" t="s">
        <v>65</v>
      </c>
      <c r="L384" s="79">
        <v>384</v>
      </c>
      <c r="M384" s="79"/>
      <c r="N384" s="73"/>
      <c r="O384" s="81" t="s">
        <v>565</v>
      </c>
      <c r="P384" s="81"/>
      <c r="Q384" s="81"/>
      <c r="R384" s="81"/>
      <c r="S384" s="81"/>
      <c r="T384" s="81"/>
      <c r="U384" s="81"/>
      <c r="V384" s="81" t="s">
        <v>1124</v>
      </c>
      <c r="W384" s="86" t="str">
        <f>HYPERLINK("https://www.youtube.com/watch?v=08MqGSL9TNQ")</f>
        <v>https://www.youtube.com/watch?v=08MqGSL9TNQ</v>
      </c>
      <c r="X384" s="81"/>
      <c r="Y384" s="81"/>
      <c r="Z384" s="88">
        <v>41357.90636574074</v>
      </c>
      <c r="AA384" s="81"/>
      <c r="AB384" s="81"/>
      <c r="AC384" s="81"/>
      <c r="AD384" s="81"/>
      <c r="AE384">
        <v>17</v>
      </c>
      <c r="AF384" s="80" t="str">
        <f>REPLACE(INDEX(GroupVertices[Group],MATCH(Edges[[#This Row],[Vertex 1]],GroupVertices[Vertex],0)),1,1,"")</f>
        <v>1</v>
      </c>
      <c r="AG384" s="80" t="str">
        <f>REPLACE(INDEX(GroupVertices[Group],MATCH(Edges[[#This Row],[Vertex 2]],GroupVertices[Vertex],0)),1,1,"")</f>
        <v>1</v>
      </c>
      <c r="AH384" s="49"/>
      <c r="AI384" s="50"/>
      <c r="AJ384" s="49"/>
      <c r="AK384" s="50"/>
      <c r="AL384" s="49"/>
      <c r="AM384" s="50"/>
      <c r="AN384" s="49"/>
      <c r="AO384" s="50"/>
      <c r="AP384" s="49"/>
    </row>
    <row r="385" spans="1:42" ht="15">
      <c r="A385" s="65" t="s">
        <v>369</v>
      </c>
      <c r="B385" s="65" t="s">
        <v>369</v>
      </c>
      <c r="C385" s="66" t="s">
        <v>2950</v>
      </c>
      <c r="D385" s="67">
        <v>10</v>
      </c>
      <c r="E385" s="68"/>
      <c r="F385" s="69">
        <v>15</v>
      </c>
      <c r="G385" s="66"/>
      <c r="H385" s="70"/>
      <c r="I385" s="71"/>
      <c r="J385" s="71"/>
      <c r="K385" s="35" t="s">
        <v>65</v>
      </c>
      <c r="L385" s="79">
        <v>385</v>
      </c>
      <c r="M385" s="79"/>
      <c r="N385" s="73"/>
      <c r="O385" s="81" t="s">
        <v>565</v>
      </c>
      <c r="P385" s="81"/>
      <c r="Q385" s="81"/>
      <c r="R385" s="81"/>
      <c r="S385" s="81"/>
      <c r="T385" s="81"/>
      <c r="U385" s="81"/>
      <c r="V385" s="81" t="s">
        <v>1126</v>
      </c>
      <c r="W385" s="86" t="str">
        <f>HYPERLINK("https://www.youtube.com/watch?v=Gs4NPuKIXdo")</f>
        <v>https://www.youtube.com/watch?v=Gs4NPuKIXdo</v>
      </c>
      <c r="X385" s="81"/>
      <c r="Y385" s="81"/>
      <c r="Z385" s="88">
        <v>42261.17663194444</v>
      </c>
      <c r="AA385" s="81"/>
      <c r="AB385" s="81"/>
      <c r="AC385" s="81"/>
      <c r="AD385" s="81"/>
      <c r="AE385">
        <v>17</v>
      </c>
      <c r="AF385" s="80" t="str">
        <f>REPLACE(INDEX(GroupVertices[Group],MATCH(Edges[[#This Row],[Vertex 1]],GroupVertices[Vertex],0)),1,1,"")</f>
        <v>1</v>
      </c>
      <c r="AG385" s="80" t="str">
        <f>REPLACE(INDEX(GroupVertices[Group],MATCH(Edges[[#This Row],[Vertex 2]],GroupVertices[Vertex],0)),1,1,"")</f>
        <v>1</v>
      </c>
      <c r="AH385" s="49"/>
      <c r="AI385" s="50"/>
      <c r="AJ385" s="49"/>
      <c r="AK385" s="50"/>
      <c r="AL385" s="49"/>
      <c r="AM385" s="50"/>
      <c r="AN385" s="49"/>
      <c r="AO385" s="50"/>
      <c r="AP385" s="49"/>
    </row>
    <row r="386" spans="1:42" ht="15">
      <c r="A386" s="65" t="s">
        <v>369</v>
      </c>
      <c r="B386" s="65" t="s">
        <v>369</v>
      </c>
      <c r="C386" s="66" t="s">
        <v>2950</v>
      </c>
      <c r="D386" s="67">
        <v>10</v>
      </c>
      <c r="E386" s="68"/>
      <c r="F386" s="69">
        <v>15</v>
      </c>
      <c r="G386" s="66"/>
      <c r="H386" s="70"/>
      <c r="I386" s="71"/>
      <c r="J386" s="71"/>
      <c r="K386" s="35" t="s">
        <v>65</v>
      </c>
      <c r="L386" s="79">
        <v>386</v>
      </c>
      <c r="M386" s="79"/>
      <c r="N386" s="73"/>
      <c r="O386" s="81" t="s">
        <v>565</v>
      </c>
      <c r="P386" s="81"/>
      <c r="Q386" s="81"/>
      <c r="R386" s="81"/>
      <c r="S386" s="81"/>
      <c r="T386" s="81"/>
      <c r="U386" s="81"/>
      <c r="V386" s="81" t="s">
        <v>1127</v>
      </c>
      <c r="W386" s="86" t="str">
        <f>HYPERLINK("https://www.youtube.com/watch?v=zEgrruOITHw")</f>
        <v>https://www.youtube.com/watch?v=zEgrruOITHw</v>
      </c>
      <c r="X386" s="81"/>
      <c r="Y386" s="81"/>
      <c r="Z386" s="88">
        <v>41540.986712962964</v>
      </c>
      <c r="AA386" s="81"/>
      <c r="AB386" s="81"/>
      <c r="AC386" s="81"/>
      <c r="AD386" s="81"/>
      <c r="AE386">
        <v>17</v>
      </c>
      <c r="AF386" s="80" t="str">
        <f>REPLACE(INDEX(GroupVertices[Group],MATCH(Edges[[#This Row],[Vertex 1]],GroupVertices[Vertex],0)),1,1,"")</f>
        <v>1</v>
      </c>
      <c r="AG386" s="80" t="str">
        <f>REPLACE(INDEX(GroupVertices[Group],MATCH(Edges[[#This Row],[Vertex 2]],GroupVertices[Vertex],0)),1,1,"")</f>
        <v>1</v>
      </c>
      <c r="AH386" s="49"/>
      <c r="AI386" s="50"/>
      <c r="AJ386" s="49"/>
      <c r="AK386" s="50"/>
      <c r="AL386" s="49"/>
      <c r="AM386" s="50"/>
      <c r="AN386" s="49"/>
      <c r="AO386" s="50"/>
      <c r="AP386" s="49"/>
    </row>
    <row r="387" spans="1:42" ht="15">
      <c r="A387" s="65" t="s">
        <v>369</v>
      </c>
      <c r="B387" s="65" t="s">
        <v>369</v>
      </c>
      <c r="C387" s="66" t="s">
        <v>2950</v>
      </c>
      <c r="D387" s="67">
        <v>10</v>
      </c>
      <c r="E387" s="68"/>
      <c r="F387" s="69">
        <v>15</v>
      </c>
      <c r="G387" s="66"/>
      <c r="H387" s="70"/>
      <c r="I387" s="71"/>
      <c r="J387" s="71"/>
      <c r="K387" s="35" t="s">
        <v>65</v>
      </c>
      <c r="L387" s="79">
        <v>387</v>
      </c>
      <c r="M387" s="79"/>
      <c r="N387" s="73"/>
      <c r="O387" s="81" t="s">
        <v>565</v>
      </c>
      <c r="P387" s="81"/>
      <c r="Q387" s="81"/>
      <c r="R387" s="81"/>
      <c r="S387" s="81"/>
      <c r="T387" s="81"/>
      <c r="U387" s="81"/>
      <c r="V387" s="81" t="s">
        <v>1128</v>
      </c>
      <c r="W387" s="86" t="str">
        <f>HYPERLINK("https://www.youtube.com/watch?v=PC-PgkhpsNc")</f>
        <v>https://www.youtube.com/watch?v=PC-PgkhpsNc</v>
      </c>
      <c r="X387" s="81"/>
      <c r="Y387" s="81"/>
      <c r="Z387" s="88">
        <v>41372.50519675926</v>
      </c>
      <c r="AA387" s="81"/>
      <c r="AB387" s="81"/>
      <c r="AC387" s="81"/>
      <c r="AD387" s="81"/>
      <c r="AE387">
        <v>17</v>
      </c>
      <c r="AF387" s="80" t="str">
        <f>REPLACE(INDEX(GroupVertices[Group],MATCH(Edges[[#This Row],[Vertex 1]],GroupVertices[Vertex],0)),1,1,"")</f>
        <v>1</v>
      </c>
      <c r="AG387" s="80" t="str">
        <f>REPLACE(INDEX(GroupVertices[Group],MATCH(Edges[[#This Row],[Vertex 2]],GroupVertices[Vertex],0)),1,1,"")</f>
        <v>1</v>
      </c>
      <c r="AH387" s="49"/>
      <c r="AI387" s="50"/>
      <c r="AJ387" s="49"/>
      <c r="AK387" s="50"/>
      <c r="AL387" s="49"/>
      <c r="AM387" s="50"/>
      <c r="AN387" s="49"/>
      <c r="AO387" s="50"/>
      <c r="AP387" s="49"/>
    </row>
    <row r="388" spans="1:42" ht="15">
      <c r="A388" s="65" t="s">
        <v>561</v>
      </c>
      <c r="B388" s="65" t="s">
        <v>561</v>
      </c>
      <c r="C388" s="66" t="s">
        <v>2944</v>
      </c>
      <c r="D388" s="67">
        <v>5.8</v>
      </c>
      <c r="E388" s="68"/>
      <c r="F388" s="69">
        <v>30</v>
      </c>
      <c r="G388" s="66"/>
      <c r="H388" s="70"/>
      <c r="I388" s="71"/>
      <c r="J388" s="71"/>
      <c r="K388" s="35" t="s">
        <v>65</v>
      </c>
      <c r="L388" s="79">
        <v>388</v>
      </c>
      <c r="M388" s="79"/>
      <c r="N388" s="73"/>
      <c r="O388" s="81" t="s">
        <v>565</v>
      </c>
      <c r="P388" s="81"/>
      <c r="Q388" s="81"/>
      <c r="R388" s="81"/>
      <c r="S388" s="81"/>
      <c r="T388" s="81"/>
      <c r="U388" s="81"/>
      <c r="V388" s="81" t="s">
        <v>1109</v>
      </c>
      <c r="W388" s="86" t="str">
        <f>HYPERLINK("https://www.youtube.com/watch?v=zMlwGOki4Yg")</f>
        <v>https://www.youtube.com/watch?v=zMlwGOki4Yg</v>
      </c>
      <c r="X388" s="81"/>
      <c r="Y388" s="81"/>
      <c r="Z388" s="88">
        <v>41005.986238425925</v>
      </c>
      <c r="AA388" s="81"/>
      <c r="AB388" s="81"/>
      <c r="AC388" s="81"/>
      <c r="AD388" s="81"/>
      <c r="AE388">
        <v>3</v>
      </c>
      <c r="AF388" s="80" t="str">
        <f>REPLACE(INDEX(GroupVertices[Group],MATCH(Edges[[#This Row],[Vertex 1]],GroupVertices[Vertex],0)),1,1,"")</f>
        <v>3</v>
      </c>
      <c r="AG388" s="80" t="str">
        <f>REPLACE(INDEX(GroupVertices[Group],MATCH(Edges[[#This Row],[Vertex 2]],GroupVertices[Vertex],0)),1,1,"")</f>
        <v>3</v>
      </c>
      <c r="AH388" s="49"/>
      <c r="AI388" s="50"/>
      <c r="AJ388" s="49"/>
      <c r="AK388" s="50"/>
      <c r="AL388" s="49"/>
      <c r="AM388" s="50"/>
      <c r="AN388" s="49"/>
      <c r="AO388" s="50"/>
      <c r="AP388" s="49"/>
    </row>
    <row r="389" spans="1:42" ht="15">
      <c r="A389" s="65" t="s">
        <v>561</v>
      </c>
      <c r="B389" s="65" t="s">
        <v>561</v>
      </c>
      <c r="C389" s="66" t="s">
        <v>2944</v>
      </c>
      <c r="D389" s="67">
        <v>5.8</v>
      </c>
      <c r="E389" s="68"/>
      <c r="F389" s="69">
        <v>30</v>
      </c>
      <c r="G389" s="66"/>
      <c r="H389" s="70"/>
      <c r="I389" s="71"/>
      <c r="J389" s="71"/>
      <c r="K389" s="35" t="s">
        <v>65</v>
      </c>
      <c r="L389" s="79">
        <v>389</v>
      </c>
      <c r="M389" s="79"/>
      <c r="N389" s="73"/>
      <c r="O389" s="81" t="s">
        <v>565</v>
      </c>
      <c r="P389" s="81"/>
      <c r="Q389" s="81"/>
      <c r="R389" s="81"/>
      <c r="S389" s="81"/>
      <c r="T389" s="81"/>
      <c r="U389" s="81"/>
      <c r="V389" s="81" t="s">
        <v>1117</v>
      </c>
      <c r="W389" s="86" t="str">
        <f>HYPERLINK("https://www.youtube.com/watch?v=owl9we4ldFI")</f>
        <v>https://www.youtube.com/watch?v=owl9we4ldFI</v>
      </c>
      <c r="X389" s="81"/>
      <c r="Y389" s="81"/>
      <c r="Z389" s="88">
        <v>41005.96177083333</v>
      </c>
      <c r="AA389" s="81"/>
      <c r="AB389" s="81"/>
      <c r="AC389" s="81"/>
      <c r="AD389" s="81"/>
      <c r="AE389">
        <v>3</v>
      </c>
      <c r="AF389" s="80" t="str">
        <f>REPLACE(INDEX(GroupVertices[Group],MATCH(Edges[[#This Row],[Vertex 1]],GroupVertices[Vertex],0)),1,1,"")</f>
        <v>3</v>
      </c>
      <c r="AG389" s="80" t="str">
        <f>REPLACE(INDEX(GroupVertices[Group],MATCH(Edges[[#This Row],[Vertex 2]],GroupVertices[Vertex],0)),1,1,"")</f>
        <v>3</v>
      </c>
      <c r="AH389" s="49"/>
      <c r="AI389" s="50"/>
      <c r="AJ389" s="49"/>
      <c r="AK389" s="50"/>
      <c r="AL389" s="49"/>
      <c r="AM389" s="50"/>
      <c r="AN389" s="49"/>
      <c r="AO389" s="50"/>
      <c r="AP389" s="49"/>
    </row>
    <row r="390" spans="1:42" ht="15">
      <c r="A390" s="65" t="s">
        <v>561</v>
      </c>
      <c r="B390" s="65" t="s">
        <v>561</v>
      </c>
      <c r="C390" s="66" t="s">
        <v>2944</v>
      </c>
      <c r="D390" s="67">
        <v>5.8</v>
      </c>
      <c r="E390" s="68"/>
      <c r="F390" s="69">
        <v>30</v>
      </c>
      <c r="G390" s="66"/>
      <c r="H390" s="70"/>
      <c r="I390" s="71"/>
      <c r="J390" s="71"/>
      <c r="K390" s="35" t="s">
        <v>65</v>
      </c>
      <c r="L390" s="79">
        <v>390</v>
      </c>
      <c r="M390" s="79"/>
      <c r="N390" s="73"/>
      <c r="O390" s="81" t="s">
        <v>565</v>
      </c>
      <c r="P390" s="81"/>
      <c r="Q390" s="81"/>
      <c r="R390" s="81"/>
      <c r="S390" s="81"/>
      <c r="T390" s="81"/>
      <c r="U390" s="81"/>
      <c r="V390" s="81" t="s">
        <v>1130</v>
      </c>
      <c r="W390" s="86" t="str">
        <f>HYPERLINK("https://www.youtube.com/watch?v=pwsImFyc0lE")</f>
        <v>https://www.youtube.com/watch?v=pwsImFyc0lE</v>
      </c>
      <c r="X390" s="81"/>
      <c r="Y390" s="81"/>
      <c r="Z390" s="88">
        <v>41005.94207175926</v>
      </c>
      <c r="AA390" s="81"/>
      <c r="AB390" s="81"/>
      <c r="AC390" s="81"/>
      <c r="AD390" s="81"/>
      <c r="AE390">
        <v>3</v>
      </c>
      <c r="AF390" s="80" t="str">
        <f>REPLACE(INDEX(GroupVertices[Group],MATCH(Edges[[#This Row],[Vertex 1]],GroupVertices[Vertex],0)),1,1,"")</f>
        <v>3</v>
      </c>
      <c r="AG390" s="80" t="str">
        <f>REPLACE(INDEX(GroupVertices[Group],MATCH(Edges[[#This Row],[Vertex 2]],GroupVertices[Vertex],0)),1,1,"")</f>
        <v>3</v>
      </c>
      <c r="AH390" s="49"/>
      <c r="AI390" s="50"/>
      <c r="AJ390" s="49"/>
      <c r="AK390" s="50"/>
      <c r="AL390" s="49"/>
      <c r="AM390" s="50"/>
      <c r="AN390" s="49"/>
      <c r="AO390" s="50"/>
      <c r="AP3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0"/>
    <dataValidation allowBlank="1" showErrorMessage="1" sqref="N2:N3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0"/>
    <dataValidation allowBlank="1" showInputMessage="1" promptTitle="Edge Color" prompt="To select an optional edge color, right-click and select Select Color on the right-click menu." sqref="C3:C390"/>
    <dataValidation allowBlank="1" showInputMessage="1" promptTitle="Edge Width" prompt="Enter an optional edge width between 1 and 10." errorTitle="Invalid Edge Width" error="The optional edge width must be a whole number between 1 and 10." sqref="D3:D390"/>
    <dataValidation allowBlank="1" showInputMessage="1" promptTitle="Edge Opacity" prompt="Enter an optional edge opacity between 0 (transparent) and 100 (opaque)." errorTitle="Invalid Edge Opacity" error="The optional edge opacity must be a whole number between 0 and 10." sqref="F3:F3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0">
      <formula1>ValidEdgeVisibilities</formula1>
    </dataValidation>
    <dataValidation allowBlank="1" showInputMessage="1" showErrorMessage="1" promptTitle="Vertex 1 Name" prompt="Enter the name of the edge's first vertex." sqref="A3:A390"/>
    <dataValidation allowBlank="1" showInputMessage="1" showErrorMessage="1" promptTitle="Vertex 2 Name" prompt="Enter the name of the edge's second vertex." sqref="B3:B390"/>
    <dataValidation allowBlank="1" showInputMessage="1" showErrorMessage="1" promptTitle="Edge Label" prompt="Enter an optional edge label." errorTitle="Invalid Edge Visibility" error="You have entered an unrecognized edge visibility.  Try selecting from the drop-down list instead." sqref="H3:H3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1E783-AEE5-4ED8-8335-3B5489846E4A}">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2083</v>
      </c>
      <c r="B2" s="115" t="s">
        <v>2084</v>
      </c>
      <c r="C2" s="54" t="s">
        <v>2085</v>
      </c>
    </row>
    <row r="3" spans="1:3" ht="15">
      <c r="A3" s="114" t="s">
        <v>1378</v>
      </c>
      <c r="B3" s="114" t="s">
        <v>1378</v>
      </c>
      <c r="C3" s="35">
        <v>131</v>
      </c>
    </row>
    <row r="4" spans="1:3" ht="15">
      <c r="A4" s="114" t="s">
        <v>1378</v>
      </c>
      <c r="B4" s="114" t="s">
        <v>1380</v>
      </c>
      <c r="C4" s="35">
        <v>4</v>
      </c>
    </row>
    <row r="5" spans="1:3" ht="15">
      <c r="A5" s="114" t="s">
        <v>1378</v>
      </c>
      <c r="B5" s="114" t="s">
        <v>1395</v>
      </c>
      <c r="C5" s="35">
        <v>4</v>
      </c>
    </row>
    <row r="6" spans="1:3" ht="15">
      <c r="A6" s="114" t="s">
        <v>1379</v>
      </c>
      <c r="B6" s="114" t="s">
        <v>1379</v>
      </c>
      <c r="C6" s="35">
        <v>32</v>
      </c>
    </row>
    <row r="7" spans="1:3" ht="15">
      <c r="A7" s="114" t="s">
        <v>1380</v>
      </c>
      <c r="B7" s="114" t="s">
        <v>1378</v>
      </c>
      <c r="C7" s="35">
        <v>6</v>
      </c>
    </row>
    <row r="8" spans="1:3" ht="15">
      <c r="A8" s="114" t="s">
        <v>1380</v>
      </c>
      <c r="B8" s="114" t="s">
        <v>1380</v>
      </c>
      <c r="C8" s="35">
        <v>20</v>
      </c>
    </row>
    <row r="9" spans="1:3" ht="15">
      <c r="A9" s="114" t="s">
        <v>1381</v>
      </c>
      <c r="B9" s="114" t="s">
        <v>1380</v>
      </c>
      <c r="C9" s="35">
        <v>4</v>
      </c>
    </row>
    <row r="10" spans="1:3" ht="15">
      <c r="A10" s="114" t="s">
        <v>1381</v>
      </c>
      <c r="B10" s="114" t="s">
        <v>1381</v>
      </c>
      <c r="C10" s="35">
        <v>35</v>
      </c>
    </row>
    <row r="11" spans="1:3" ht="15">
      <c r="A11" s="114" t="s">
        <v>1382</v>
      </c>
      <c r="B11" s="114" t="s">
        <v>1382</v>
      </c>
      <c r="C11" s="35">
        <v>19</v>
      </c>
    </row>
    <row r="12" spans="1:3" ht="15">
      <c r="A12" s="114" t="s">
        <v>1383</v>
      </c>
      <c r="B12" s="114" t="s">
        <v>1378</v>
      </c>
      <c r="C12" s="35">
        <v>1</v>
      </c>
    </row>
    <row r="13" spans="1:3" ht="15">
      <c r="A13" s="114" t="s">
        <v>1383</v>
      </c>
      <c r="B13" s="114" t="s">
        <v>1380</v>
      </c>
      <c r="C13" s="35">
        <v>1</v>
      </c>
    </row>
    <row r="14" spans="1:3" ht="15">
      <c r="A14" s="114" t="s">
        <v>1383</v>
      </c>
      <c r="B14" s="114" t="s">
        <v>1383</v>
      </c>
      <c r="C14" s="35">
        <v>21</v>
      </c>
    </row>
    <row r="15" spans="1:3" ht="15">
      <c r="A15" s="114" t="s">
        <v>1383</v>
      </c>
      <c r="B15" s="114" t="s">
        <v>1386</v>
      </c>
      <c r="C15" s="35">
        <v>1</v>
      </c>
    </row>
    <row r="16" spans="1:3" ht="15">
      <c r="A16" s="114" t="s">
        <v>1384</v>
      </c>
      <c r="B16" s="114" t="s">
        <v>1378</v>
      </c>
      <c r="C16" s="35">
        <v>1</v>
      </c>
    </row>
    <row r="17" spans="1:3" ht="15">
      <c r="A17" s="114" t="s">
        <v>1384</v>
      </c>
      <c r="B17" s="114" t="s">
        <v>1384</v>
      </c>
      <c r="C17" s="35">
        <v>15</v>
      </c>
    </row>
    <row r="18" spans="1:3" ht="15">
      <c r="A18" s="114" t="s">
        <v>1385</v>
      </c>
      <c r="B18" s="114" t="s">
        <v>1385</v>
      </c>
      <c r="C18" s="35">
        <v>18</v>
      </c>
    </row>
    <row r="19" spans="1:3" ht="15">
      <c r="A19" s="114" t="s">
        <v>1386</v>
      </c>
      <c r="B19" s="114" t="s">
        <v>1378</v>
      </c>
      <c r="C19" s="35">
        <v>1</v>
      </c>
    </row>
    <row r="20" spans="1:3" ht="15">
      <c r="A20" s="114" t="s">
        <v>1386</v>
      </c>
      <c r="B20" s="114" t="s">
        <v>1386</v>
      </c>
      <c r="C20" s="35">
        <v>11</v>
      </c>
    </row>
    <row r="21" spans="1:3" ht="15">
      <c r="A21" s="114" t="s">
        <v>1387</v>
      </c>
      <c r="B21" s="114" t="s">
        <v>1387</v>
      </c>
      <c r="C21" s="35">
        <v>8</v>
      </c>
    </row>
    <row r="22" spans="1:3" ht="15">
      <c r="A22" s="114" t="s">
        <v>1388</v>
      </c>
      <c r="B22" s="114" t="s">
        <v>1388</v>
      </c>
      <c r="C22" s="35">
        <v>7</v>
      </c>
    </row>
    <row r="23" spans="1:3" ht="15">
      <c r="A23" s="114" t="s">
        <v>1389</v>
      </c>
      <c r="B23" s="114" t="s">
        <v>1389</v>
      </c>
      <c r="C23" s="35">
        <v>4</v>
      </c>
    </row>
    <row r="24" spans="1:3" ht="15">
      <c r="A24" s="114" t="s">
        <v>1390</v>
      </c>
      <c r="B24" s="114" t="s">
        <v>1390</v>
      </c>
      <c r="C24" s="35">
        <v>4</v>
      </c>
    </row>
    <row r="25" spans="1:3" ht="15">
      <c r="A25" s="114" t="s">
        <v>1391</v>
      </c>
      <c r="B25" s="114" t="s">
        <v>1391</v>
      </c>
      <c r="C25" s="35">
        <v>4</v>
      </c>
    </row>
    <row r="26" spans="1:3" ht="15">
      <c r="A26" s="114" t="s">
        <v>1392</v>
      </c>
      <c r="B26" s="114" t="s">
        <v>1392</v>
      </c>
      <c r="C26" s="35">
        <v>3</v>
      </c>
    </row>
    <row r="27" spans="1:3" ht="15">
      <c r="A27" s="114" t="s">
        <v>1393</v>
      </c>
      <c r="B27" s="114" t="s">
        <v>1393</v>
      </c>
      <c r="C27" s="35">
        <v>3</v>
      </c>
    </row>
    <row r="28" spans="1:3" ht="15">
      <c r="A28" s="114" t="s">
        <v>1394</v>
      </c>
      <c r="B28" s="114" t="s">
        <v>1394</v>
      </c>
      <c r="C28" s="35">
        <v>11</v>
      </c>
    </row>
    <row r="29" spans="1:3" ht="15">
      <c r="A29" s="114" t="s">
        <v>1395</v>
      </c>
      <c r="B29" s="114" t="s">
        <v>1378</v>
      </c>
      <c r="C29" s="35">
        <v>1</v>
      </c>
    </row>
    <row r="30" spans="1:3" ht="15">
      <c r="A30" s="114" t="s">
        <v>1395</v>
      </c>
      <c r="B30" s="114" t="s">
        <v>1395</v>
      </c>
      <c r="C30" s="35">
        <v>3</v>
      </c>
    </row>
    <row r="31" spans="1:3" ht="15">
      <c r="A31" s="114" t="s">
        <v>1396</v>
      </c>
      <c r="B31" s="114" t="s">
        <v>1396</v>
      </c>
      <c r="C31" s="35">
        <v>2</v>
      </c>
    </row>
    <row r="32" spans="1:3" ht="15">
      <c r="A32" s="114" t="s">
        <v>1397</v>
      </c>
      <c r="B32" s="114" t="s">
        <v>1397</v>
      </c>
      <c r="C32" s="35">
        <v>2</v>
      </c>
    </row>
    <row r="33" spans="1:3" ht="15">
      <c r="A33" s="114" t="s">
        <v>1398</v>
      </c>
      <c r="B33" s="114" t="s">
        <v>1398</v>
      </c>
      <c r="C33" s="35">
        <v>3</v>
      </c>
    </row>
    <row r="34" spans="1:3" ht="15">
      <c r="A34" s="114" t="s">
        <v>1399</v>
      </c>
      <c r="B34" s="114" t="s">
        <v>1378</v>
      </c>
      <c r="C34" s="35">
        <v>1</v>
      </c>
    </row>
    <row r="35" spans="1:3" ht="15">
      <c r="A35" s="114" t="s">
        <v>1399</v>
      </c>
      <c r="B35" s="114" t="s">
        <v>1399</v>
      </c>
      <c r="C35" s="35">
        <v>1</v>
      </c>
    </row>
    <row r="36" spans="1:3" ht="15">
      <c r="A36" s="114" t="s">
        <v>1400</v>
      </c>
      <c r="B36" s="114" t="s">
        <v>1400</v>
      </c>
      <c r="C36" s="35">
        <v>2</v>
      </c>
    </row>
    <row r="37" spans="1:3" ht="15">
      <c r="A37" s="114" t="s">
        <v>1401</v>
      </c>
      <c r="B37" s="114" t="s">
        <v>1401</v>
      </c>
      <c r="C37" s="35">
        <v>2</v>
      </c>
    </row>
    <row r="38" spans="1:3" ht="15">
      <c r="A38" s="114" t="s">
        <v>1402</v>
      </c>
      <c r="B38" s="114" t="s">
        <v>1402</v>
      </c>
      <c r="C38"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CE204-960A-41D9-B91B-206721BFA24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2104</v>
      </c>
      <c r="B1" s="13" t="s">
        <v>17</v>
      </c>
    </row>
    <row r="2" spans="1:2" ht="15">
      <c r="A2" s="80" t="s">
        <v>2105</v>
      </c>
      <c r="B2" s="80"/>
    </row>
    <row r="3" spans="1:2" ht="15">
      <c r="A3" s="81" t="s">
        <v>2106</v>
      </c>
      <c r="B3" s="80"/>
    </row>
    <row r="4" spans="1:2" ht="15">
      <c r="A4" s="81" t="s">
        <v>2107</v>
      </c>
      <c r="B4" s="80"/>
    </row>
    <row r="5" spans="1:2" ht="15">
      <c r="A5" s="81" t="s">
        <v>2108</v>
      </c>
      <c r="B5" s="80"/>
    </row>
    <row r="6" spans="1:2" ht="15">
      <c r="A6" s="81" t="s">
        <v>2109</v>
      </c>
      <c r="B6" s="80"/>
    </row>
    <row r="7" spans="1:2" ht="15">
      <c r="A7" s="81" t="s">
        <v>2110</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8A1F9-E16D-43F6-BBE4-DC9B4D3A8AE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2111</v>
      </c>
      <c r="B1" s="13" t="s">
        <v>34</v>
      </c>
    </row>
    <row r="2" spans="1:2" ht="15">
      <c r="A2" s="105" t="s">
        <v>369</v>
      </c>
      <c r="B2" s="80">
        <v>13864.166667</v>
      </c>
    </row>
    <row r="3" spans="1:2" ht="15">
      <c r="A3" s="108" t="s">
        <v>561</v>
      </c>
      <c r="B3" s="80">
        <v>6152.333333</v>
      </c>
    </row>
    <row r="4" spans="1:2" ht="15">
      <c r="A4" s="108" t="s">
        <v>517</v>
      </c>
      <c r="B4" s="80">
        <v>3786</v>
      </c>
    </row>
    <row r="5" spans="1:2" ht="15">
      <c r="A5" s="108" t="s">
        <v>450</v>
      </c>
      <c r="B5" s="80">
        <v>3415</v>
      </c>
    </row>
    <row r="6" spans="1:2" ht="15">
      <c r="A6" s="108" t="s">
        <v>497</v>
      </c>
      <c r="B6" s="80">
        <v>2160</v>
      </c>
    </row>
    <row r="7" spans="1:2" ht="15">
      <c r="A7" s="108" t="s">
        <v>358</v>
      </c>
      <c r="B7" s="80">
        <v>2000</v>
      </c>
    </row>
    <row r="8" spans="1:2" ht="15">
      <c r="A8" s="108" t="s">
        <v>430</v>
      </c>
      <c r="B8" s="80">
        <v>1990</v>
      </c>
    </row>
    <row r="9" spans="1:2" ht="15">
      <c r="A9" s="108" t="s">
        <v>512</v>
      </c>
      <c r="B9" s="80">
        <v>1675.333333</v>
      </c>
    </row>
    <row r="10" spans="1:2" ht="15">
      <c r="A10" s="108" t="s">
        <v>515</v>
      </c>
      <c r="B10" s="80">
        <v>1503.166667</v>
      </c>
    </row>
    <row r="11" spans="1:2" ht="15">
      <c r="A11" s="108" t="s">
        <v>516</v>
      </c>
      <c r="B11" s="80">
        <v>1503.166667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59B0-C96A-4BE3-B0AF-DF64B8CF3B78}">
  <dimension ref="A1:V53"/>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2112</v>
      </c>
      <c r="B1" s="13" t="s">
        <v>2123</v>
      </c>
      <c r="C1" s="13" t="s">
        <v>2124</v>
      </c>
      <c r="D1" s="13" t="s">
        <v>2130</v>
      </c>
      <c r="E1" s="80" t="s">
        <v>2129</v>
      </c>
      <c r="F1" s="80" t="s">
        <v>2132</v>
      </c>
      <c r="G1" s="13" t="s">
        <v>2131</v>
      </c>
      <c r="H1" s="13" t="s">
        <v>2134</v>
      </c>
      <c r="I1" s="13" t="s">
        <v>2133</v>
      </c>
      <c r="J1" s="13" t="s">
        <v>2139</v>
      </c>
      <c r="K1" s="13" t="s">
        <v>2138</v>
      </c>
      <c r="L1" s="13" t="s">
        <v>2146</v>
      </c>
      <c r="M1" s="80" t="s">
        <v>2145</v>
      </c>
      <c r="N1" s="80" t="s">
        <v>2148</v>
      </c>
      <c r="O1" s="80" t="s">
        <v>2147</v>
      </c>
      <c r="P1" s="80" t="s">
        <v>2150</v>
      </c>
      <c r="Q1" s="13" t="s">
        <v>2149</v>
      </c>
      <c r="R1" s="13" t="s">
        <v>2153</v>
      </c>
      <c r="S1" s="13" t="s">
        <v>2152</v>
      </c>
      <c r="T1" s="13" t="s">
        <v>2156</v>
      </c>
      <c r="U1" s="13" t="s">
        <v>2155</v>
      </c>
      <c r="V1" s="13" t="s">
        <v>2160</v>
      </c>
    </row>
    <row r="2" spans="1:22" ht="15">
      <c r="A2" s="85" t="s">
        <v>2113</v>
      </c>
      <c r="B2" s="80">
        <v>5</v>
      </c>
      <c r="C2" s="85" t="s">
        <v>2114</v>
      </c>
      <c r="D2" s="80">
        <v>4</v>
      </c>
      <c r="E2" s="80"/>
      <c r="F2" s="80"/>
      <c r="G2" s="85" t="s">
        <v>2113</v>
      </c>
      <c r="H2" s="80">
        <v>5</v>
      </c>
      <c r="I2" s="85" t="s">
        <v>2122</v>
      </c>
      <c r="J2" s="80">
        <v>2</v>
      </c>
      <c r="K2" s="85" t="s">
        <v>2140</v>
      </c>
      <c r="L2" s="80">
        <v>2</v>
      </c>
      <c r="M2" s="80"/>
      <c r="N2" s="80"/>
      <c r="O2" s="80"/>
      <c r="P2" s="80"/>
      <c r="Q2" s="85" t="s">
        <v>2151</v>
      </c>
      <c r="R2" s="80">
        <v>1</v>
      </c>
      <c r="S2" s="85" t="s">
        <v>2154</v>
      </c>
      <c r="T2" s="80">
        <v>1</v>
      </c>
      <c r="U2" s="85" t="s">
        <v>2157</v>
      </c>
      <c r="V2" s="80">
        <v>2</v>
      </c>
    </row>
    <row r="3" spans="1:22" ht="15">
      <c r="A3" s="86" t="s">
        <v>2114</v>
      </c>
      <c r="B3" s="80">
        <v>4</v>
      </c>
      <c r="C3" s="85" t="s">
        <v>2116</v>
      </c>
      <c r="D3" s="80">
        <v>2</v>
      </c>
      <c r="E3" s="80"/>
      <c r="F3" s="80"/>
      <c r="G3" s="85" t="s">
        <v>2115</v>
      </c>
      <c r="H3" s="80">
        <v>3</v>
      </c>
      <c r="I3" s="85" t="s">
        <v>2135</v>
      </c>
      <c r="J3" s="80">
        <v>2</v>
      </c>
      <c r="K3" s="85" t="s">
        <v>2141</v>
      </c>
      <c r="L3" s="80">
        <v>2</v>
      </c>
      <c r="M3" s="80"/>
      <c r="N3" s="80"/>
      <c r="O3" s="80"/>
      <c r="P3" s="80"/>
      <c r="Q3" s="80"/>
      <c r="R3" s="80"/>
      <c r="S3" s="80"/>
      <c r="T3" s="80"/>
      <c r="U3" s="85" t="s">
        <v>2158</v>
      </c>
      <c r="V3" s="80">
        <v>1</v>
      </c>
    </row>
    <row r="4" spans="1:22" ht="15">
      <c r="A4" s="86" t="s">
        <v>2115</v>
      </c>
      <c r="B4" s="80">
        <v>3</v>
      </c>
      <c r="C4" s="85" t="s">
        <v>2125</v>
      </c>
      <c r="D4" s="80">
        <v>2</v>
      </c>
      <c r="E4" s="80"/>
      <c r="F4" s="80"/>
      <c r="G4" s="85" t="s">
        <v>2120</v>
      </c>
      <c r="H4" s="80">
        <v>2</v>
      </c>
      <c r="I4" s="85" t="s">
        <v>2136</v>
      </c>
      <c r="J4" s="80">
        <v>2</v>
      </c>
      <c r="K4" s="85" t="s">
        <v>2142</v>
      </c>
      <c r="L4" s="80">
        <v>2</v>
      </c>
      <c r="M4" s="80"/>
      <c r="N4" s="80"/>
      <c r="O4" s="80"/>
      <c r="P4" s="80"/>
      <c r="Q4" s="80"/>
      <c r="R4" s="80"/>
      <c r="S4" s="80"/>
      <c r="T4" s="80"/>
      <c r="U4" s="85" t="s">
        <v>2159</v>
      </c>
      <c r="V4" s="80">
        <v>1</v>
      </c>
    </row>
    <row r="5" spans="1:22" ht="15">
      <c r="A5" s="86" t="s">
        <v>2116</v>
      </c>
      <c r="B5" s="80">
        <v>2</v>
      </c>
      <c r="C5" s="85" t="s">
        <v>2126</v>
      </c>
      <c r="D5" s="80">
        <v>2</v>
      </c>
      <c r="E5" s="80"/>
      <c r="F5" s="80"/>
      <c r="G5" s="80"/>
      <c r="H5" s="80"/>
      <c r="I5" s="85" t="s">
        <v>2137</v>
      </c>
      <c r="J5" s="80">
        <v>1</v>
      </c>
      <c r="K5" s="85" t="s">
        <v>2143</v>
      </c>
      <c r="L5" s="80">
        <v>1</v>
      </c>
      <c r="M5" s="80"/>
      <c r="N5" s="80"/>
      <c r="O5" s="80"/>
      <c r="P5" s="80"/>
      <c r="Q5" s="80"/>
      <c r="R5" s="80"/>
      <c r="S5" s="80"/>
      <c r="T5" s="80"/>
      <c r="U5" s="80"/>
      <c r="V5" s="80"/>
    </row>
    <row r="6" spans="1:22" ht="15">
      <c r="A6" s="86" t="s">
        <v>2117</v>
      </c>
      <c r="B6" s="80">
        <v>2</v>
      </c>
      <c r="C6" s="85" t="s">
        <v>2127</v>
      </c>
      <c r="D6" s="80">
        <v>2</v>
      </c>
      <c r="E6" s="80"/>
      <c r="F6" s="80"/>
      <c r="G6" s="80"/>
      <c r="H6" s="80"/>
      <c r="I6" s="80"/>
      <c r="J6" s="80"/>
      <c r="K6" s="85" t="s">
        <v>2144</v>
      </c>
      <c r="L6" s="80">
        <v>1</v>
      </c>
      <c r="M6" s="80"/>
      <c r="N6" s="80"/>
      <c r="O6" s="80"/>
      <c r="P6" s="80"/>
      <c r="Q6" s="80"/>
      <c r="R6" s="80"/>
      <c r="S6" s="80"/>
      <c r="T6" s="80"/>
      <c r="U6" s="80"/>
      <c r="V6" s="80"/>
    </row>
    <row r="7" spans="1:22" ht="15">
      <c r="A7" s="86" t="s">
        <v>2118</v>
      </c>
      <c r="B7" s="80">
        <v>2</v>
      </c>
      <c r="C7" s="85" t="s">
        <v>2121</v>
      </c>
      <c r="D7" s="80">
        <v>2</v>
      </c>
      <c r="E7" s="80"/>
      <c r="F7" s="80"/>
      <c r="G7" s="80"/>
      <c r="H7" s="80"/>
      <c r="I7" s="80"/>
      <c r="J7" s="80"/>
      <c r="K7" s="80"/>
      <c r="L7" s="80"/>
      <c r="M7" s="80"/>
      <c r="N7" s="80"/>
      <c r="O7" s="80"/>
      <c r="P7" s="80"/>
      <c r="Q7" s="80"/>
      <c r="R7" s="80"/>
      <c r="S7" s="80"/>
      <c r="T7" s="80"/>
      <c r="U7" s="80"/>
      <c r="V7" s="80"/>
    </row>
    <row r="8" spans="1:22" ht="15">
      <c r="A8" s="86" t="s">
        <v>2119</v>
      </c>
      <c r="B8" s="80">
        <v>2</v>
      </c>
      <c r="C8" s="85" t="s">
        <v>2119</v>
      </c>
      <c r="D8" s="80">
        <v>2</v>
      </c>
      <c r="E8" s="80"/>
      <c r="F8" s="80"/>
      <c r="G8" s="80"/>
      <c r="H8" s="80"/>
      <c r="I8" s="80"/>
      <c r="J8" s="80"/>
      <c r="K8" s="80"/>
      <c r="L8" s="80"/>
      <c r="M8" s="80"/>
      <c r="N8" s="80"/>
      <c r="O8" s="80"/>
      <c r="P8" s="80"/>
      <c r="Q8" s="80"/>
      <c r="R8" s="80"/>
      <c r="S8" s="80"/>
      <c r="T8" s="80"/>
      <c r="U8" s="80"/>
      <c r="V8" s="80"/>
    </row>
    <row r="9" spans="1:22" ht="15">
      <c r="A9" s="86" t="s">
        <v>2120</v>
      </c>
      <c r="B9" s="80">
        <v>2</v>
      </c>
      <c r="C9" s="85" t="s">
        <v>2118</v>
      </c>
      <c r="D9" s="80">
        <v>2</v>
      </c>
      <c r="E9" s="80"/>
      <c r="F9" s="80"/>
      <c r="G9" s="80"/>
      <c r="H9" s="80"/>
      <c r="I9" s="80"/>
      <c r="J9" s="80"/>
      <c r="K9" s="80"/>
      <c r="L9" s="80"/>
      <c r="M9" s="80"/>
      <c r="N9" s="80"/>
      <c r="O9" s="80"/>
      <c r="P9" s="80"/>
      <c r="Q9" s="80"/>
      <c r="R9" s="80"/>
      <c r="S9" s="80"/>
      <c r="T9" s="80"/>
      <c r="U9" s="80"/>
      <c r="V9" s="80"/>
    </row>
    <row r="10" spans="1:22" ht="15">
      <c r="A10" s="86" t="s">
        <v>2121</v>
      </c>
      <c r="B10" s="80">
        <v>2</v>
      </c>
      <c r="C10" s="85" t="s">
        <v>2117</v>
      </c>
      <c r="D10" s="80">
        <v>2</v>
      </c>
      <c r="E10" s="80"/>
      <c r="F10" s="80"/>
      <c r="G10" s="80"/>
      <c r="H10" s="80"/>
      <c r="I10" s="80"/>
      <c r="J10" s="80"/>
      <c r="K10" s="80"/>
      <c r="L10" s="80"/>
      <c r="M10" s="80"/>
      <c r="N10" s="80"/>
      <c r="O10" s="80"/>
      <c r="P10" s="80"/>
      <c r="Q10" s="80"/>
      <c r="R10" s="80"/>
      <c r="S10" s="80"/>
      <c r="T10" s="80"/>
      <c r="U10" s="80"/>
      <c r="V10" s="80"/>
    </row>
    <row r="11" spans="1:22" ht="15">
      <c r="A11" s="86" t="s">
        <v>2122</v>
      </c>
      <c r="B11" s="80">
        <v>2</v>
      </c>
      <c r="C11" s="85" t="s">
        <v>2128</v>
      </c>
      <c r="D11" s="80">
        <v>1</v>
      </c>
      <c r="E11" s="80"/>
      <c r="F11" s="80"/>
      <c r="G11" s="80"/>
      <c r="H11" s="80"/>
      <c r="I11" s="80"/>
      <c r="J11" s="80"/>
      <c r="K11" s="80"/>
      <c r="L11" s="80"/>
      <c r="M11" s="80"/>
      <c r="N11" s="80"/>
      <c r="O11" s="80"/>
      <c r="P11" s="80"/>
      <c r="Q11" s="80"/>
      <c r="R11" s="80"/>
      <c r="S11" s="80"/>
      <c r="T11" s="80"/>
      <c r="U11" s="80"/>
      <c r="V11" s="80"/>
    </row>
    <row r="14" spans="1:22" ht="15" customHeight="1">
      <c r="A14" s="13" t="s">
        <v>2170</v>
      </c>
      <c r="B14" s="13" t="s">
        <v>2123</v>
      </c>
      <c r="C14" s="13" t="s">
        <v>2176</v>
      </c>
      <c r="D14" s="13" t="s">
        <v>2130</v>
      </c>
      <c r="E14" s="80" t="s">
        <v>2178</v>
      </c>
      <c r="F14" s="80" t="s">
        <v>2132</v>
      </c>
      <c r="G14" s="13" t="s">
        <v>2179</v>
      </c>
      <c r="H14" s="13" t="s">
        <v>2134</v>
      </c>
      <c r="I14" s="13" t="s">
        <v>2180</v>
      </c>
      <c r="J14" s="13" t="s">
        <v>2139</v>
      </c>
      <c r="K14" s="13" t="s">
        <v>2181</v>
      </c>
      <c r="L14" s="13" t="s">
        <v>2146</v>
      </c>
      <c r="M14" s="80" t="s">
        <v>2183</v>
      </c>
      <c r="N14" s="80" t="s">
        <v>2148</v>
      </c>
      <c r="O14" s="80" t="s">
        <v>2184</v>
      </c>
      <c r="P14" s="80" t="s">
        <v>2150</v>
      </c>
      <c r="Q14" s="13" t="s">
        <v>2185</v>
      </c>
      <c r="R14" s="13" t="s">
        <v>2153</v>
      </c>
      <c r="S14" s="13" t="s">
        <v>2186</v>
      </c>
      <c r="T14" s="13" t="s">
        <v>2156</v>
      </c>
      <c r="U14" s="13" t="s">
        <v>2187</v>
      </c>
      <c r="V14" s="13" t="s">
        <v>2160</v>
      </c>
    </row>
    <row r="15" spans="1:22" ht="15">
      <c r="A15" s="80" t="s">
        <v>1221</v>
      </c>
      <c r="B15" s="80">
        <v>21</v>
      </c>
      <c r="C15" s="80" t="s">
        <v>2171</v>
      </c>
      <c r="D15" s="80">
        <v>6</v>
      </c>
      <c r="E15" s="80"/>
      <c r="F15" s="80"/>
      <c r="G15" s="80" t="s">
        <v>1221</v>
      </c>
      <c r="H15" s="80">
        <v>10</v>
      </c>
      <c r="I15" s="80" t="s">
        <v>1234</v>
      </c>
      <c r="J15" s="80">
        <v>3</v>
      </c>
      <c r="K15" s="80" t="s">
        <v>2172</v>
      </c>
      <c r="L15" s="80">
        <v>2</v>
      </c>
      <c r="M15" s="80"/>
      <c r="N15" s="80"/>
      <c r="O15" s="80"/>
      <c r="P15" s="80"/>
      <c r="Q15" s="80" t="s">
        <v>1225</v>
      </c>
      <c r="R15" s="80">
        <v>1</v>
      </c>
      <c r="S15" s="80" t="s">
        <v>1221</v>
      </c>
      <c r="T15" s="80">
        <v>1</v>
      </c>
      <c r="U15" s="80" t="s">
        <v>2174</v>
      </c>
      <c r="V15" s="80">
        <v>4</v>
      </c>
    </row>
    <row r="16" spans="1:22" ht="15">
      <c r="A16" s="81" t="s">
        <v>2171</v>
      </c>
      <c r="B16" s="80">
        <v>10</v>
      </c>
      <c r="C16" s="80" t="s">
        <v>1221</v>
      </c>
      <c r="D16" s="80">
        <v>6</v>
      </c>
      <c r="E16" s="80"/>
      <c r="F16" s="80"/>
      <c r="G16" s="80"/>
      <c r="H16" s="80"/>
      <c r="I16" s="80" t="s">
        <v>2173</v>
      </c>
      <c r="J16" s="80">
        <v>2</v>
      </c>
      <c r="K16" s="80" t="s">
        <v>2171</v>
      </c>
      <c r="L16" s="80">
        <v>2</v>
      </c>
      <c r="M16" s="80"/>
      <c r="N16" s="80"/>
      <c r="O16" s="80"/>
      <c r="P16" s="80"/>
      <c r="Q16" s="80"/>
      <c r="R16" s="80"/>
      <c r="S16" s="80"/>
      <c r="T16" s="80"/>
      <c r="U16" s="80"/>
      <c r="V16" s="80"/>
    </row>
    <row r="17" spans="1:22" ht="15">
      <c r="A17" s="81" t="s">
        <v>2172</v>
      </c>
      <c r="B17" s="80">
        <v>8</v>
      </c>
      <c r="C17" s="80" t="s">
        <v>2173</v>
      </c>
      <c r="D17" s="80">
        <v>5</v>
      </c>
      <c r="E17" s="80"/>
      <c r="F17" s="80"/>
      <c r="G17" s="80"/>
      <c r="H17" s="80"/>
      <c r="I17" s="80" t="s">
        <v>2172</v>
      </c>
      <c r="J17" s="80">
        <v>2</v>
      </c>
      <c r="K17" s="80" t="s">
        <v>2182</v>
      </c>
      <c r="L17" s="80">
        <v>2</v>
      </c>
      <c r="M17" s="80"/>
      <c r="N17" s="80"/>
      <c r="O17" s="80"/>
      <c r="P17" s="80"/>
      <c r="Q17" s="80"/>
      <c r="R17" s="80"/>
      <c r="S17" s="80"/>
      <c r="T17" s="80"/>
      <c r="U17" s="80"/>
      <c r="V17" s="80"/>
    </row>
    <row r="18" spans="1:22" ht="15">
      <c r="A18" s="81" t="s">
        <v>2173</v>
      </c>
      <c r="B18" s="80">
        <v>7</v>
      </c>
      <c r="C18" s="80" t="s">
        <v>1224</v>
      </c>
      <c r="D18" s="80">
        <v>2</v>
      </c>
      <c r="E18" s="80"/>
      <c r="F18" s="80"/>
      <c r="G18" s="80"/>
      <c r="H18" s="80"/>
      <c r="I18" s="80"/>
      <c r="J18" s="80"/>
      <c r="K18" s="80" t="s">
        <v>1221</v>
      </c>
      <c r="L18" s="80">
        <v>1</v>
      </c>
      <c r="M18" s="80"/>
      <c r="N18" s="80"/>
      <c r="O18" s="80"/>
      <c r="P18" s="80"/>
      <c r="Q18" s="80"/>
      <c r="R18" s="80"/>
      <c r="S18" s="80"/>
      <c r="T18" s="80"/>
      <c r="U18" s="80"/>
      <c r="V18" s="80"/>
    </row>
    <row r="19" spans="1:22" ht="15">
      <c r="A19" s="81" t="s">
        <v>2174</v>
      </c>
      <c r="B19" s="80">
        <v>5</v>
      </c>
      <c r="C19" s="80" t="s">
        <v>2177</v>
      </c>
      <c r="D19" s="80">
        <v>2</v>
      </c>
      <c r="E19" s="80"/>
      <c r="F19" s="80"/>
      <c r="G19" s="80"/>
      <c r="H19" s="80"/>
      <c r="I19" s="80"/>
      <c r="J19" s="80"/>
      <c r="K19" s="80" t="s">
        <v>2174</v>
      </c>
      <c r="L19" s="80">
        <v>1</v>
      </c>
      <c r="M19" s="80"/>
      <c r="N19" s="80"/>
      <c r="O19" s="80"/>
      <c r="P19" s="80"/>
      <c r="Q19" s="80"/>
      <c r="R19" s="80"/>
      <c r="S19" s="80"/>
      <c r="T19" s="80"/>
      <c r="U19" s="80"/>
      <c r="V19" s="80"/>
    </row>
    <row r="20" spans="1:22" ht="15">
      <c r="A20" s="81" t="s">
        <v>1234</v>
      </c>
      <c r="B20" s="80">
        <v>3</v>
      </c>
      <c r="C20" s="80" t="s">
        <v>2175</v>
      </c>
      <c r="D20" s="80">
        <v>2</v>
      </c>
      <c r="E20" s="80"/>
      <c r="F20" s="80"/>
      <c r="G20" s="80"/>
      <c r="H20" s="80"/>
      <c r="I20" s="80"/>
      <c r="J20" s="80"/>
      <c r="K20" s="80"/>
      <c r="L20" s="80"/>
      <c r="M20" s="80"/>
      <c r="N20" s="80"/>
      <c r="O20" s="80"/>
      <c r="P20" s="80"/>
      <c r="Q20" s="80"/>
      <c r="R20" s="80"/>
      <c r="S20" s="80"/>
      <c r="T20" s="80"/>
      <c r="U20" s="80"/>
      <c r="V20" s="80"/>
    </row>
    <row r="21" spans="1:22" ht="15">
      <c r="A21" s="81" t="s">
        <v>1225</v>
      </c>
      <c r="B21" s="80">
        <v>3</v>
      </c>
      <c r="C21" s="80" t="s">
        <v>1223</v>
      </c>
      <c r="D21" s="80">
        <v>1</v>
      </c>
      <c r="E21" s="80"/>
      <c r="F21" s="80"/>
      <c r="G21" s="80"/>
      <c r="H21" s="80"/>
      <c r="I21" s="80"/>
      <c r="J21" s="80"/>
      <c r="K21" s="80"/>
      <c r="L21" s="80"/>
      <c r="M21" s="80"/>
      <c r="N21" s="80"/>
      <c r="O21" s="80"/>
      <c r="P21" s="80"/>
      <c r="Q21" s="80"/>
      <c r="R21" s="80"/>
      <c r="S21" s="80"/>
      <c r="T21" s="80"/>
      <c r="U21" s="80"/>
      <c r="V21" s="80"/>
    </row>
    <row r="22" spans="1:22" ht="15">
      <c r="A22" s="81" t="s">
        <v>1223</v>
      </c>
      <c r="B22" s="80">
        <v>3</v>
      </c>
      <c r="C22" s="80"/>
      <c r="D22" s="80"/>
      <c r="E22" s="80"/>
      <c r="F22" s="80"/>
      <c r="G22" s="80"/>
      <c r="H22" s="80"/>
      <c r="I22" s="80"/>
      <c r="J22" s="80"/>
      <c r="K22" s="80"/>
      <c r="L22" s="80"/>
      <c r="M22" s="80"/>
      <c r="N22" s="80"/>
      <c r="O22" s="80"/>
      <c r="P22" s="80"/>
      <c r="Q22" s="80"/>
      <c r="R22" s="80"/>
      <c r="S22" s="80"/>
      <c r="T22" s="80"/>
      <c r="U22" s="80"/>
      <c r="V22" s="80"/>
    </row>
    <row r="23" spans="1:22" ht="15">
      <c r="A23" s="81" t="s">
        <v>1224</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2175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80" t="s">
        <v>2194</v>
      </c>
      <c r="B27" s="80" t="s">
        <v>2123</v>
      </c>
      <c r="C27" s="80" t="s">
        <v>2195</v>
      </c>
      <c r="D27" s="80" t="s">
        <v>2130</v>
      </c>
      <c r="E27" s="80" t="s">
        <v>2196</v>
      </c>
      <c r="F27" s="80" t="s">
        <v>2132</v>
      </c>
      <c r="G27" s="80" t="s">
        <v>2197</v>
      </c>
      <c r="H27" s="80" t="s">
        <v>2134</v>
      </c>
      <c r="I27" s="80" t="s">
        <v>2198</v>
      </c>
      <c r="J27" s="80" t="s">
        <v>2139</v>
      </c>
      <c r="K27" s="80" t="s">
        <v>2199</v>
      </c>
      <c r="L27" s="80" t="s">
        <v>2146</v>
      </c>
      <c r="M27" s="80" t="s">
        <v>2200</v>
      </c>
      <c r="N27" s="80" t="s">
        <v>2148</v>
      </c>
      <c r="O27" s="80" t="s">
        <v>2201</v>
      </c>
      <c r="P27" s="80" t="s">
        <v>2150</v>
      </c>
      <c r="Q27" s="80" t="s">
        <v>2202</v>
      </c>
      <c r="R27" s="80" t="s">
        <v>2153</v>
      </c>
      <c r="S27" s="80" t="s">
        <v>2203</v>
      </c>
      <c r="T27" s="80" t="s">
        <v>2156</v>
      </c>
      <c r="U27" s="80" t="s">
        <v>2204</v>
      </c>
      <c r="V27" s="80" t="s">
        <v>2160</v>
      </c>
    </row>
    <row r="28" spans="1:22" ht="15">
      <c r="A28" s="80"/>
      <c r="B28" s="80"/>
      <c r="C28" s="80"/>
      <c r="D28" s="80"/>
      <c r="E28" s="80"/>
      <c r="F28" s="80"/>
      <c r="G28" s="80"/>
      <c r="H28" s="80"/>
      <c r="I28" s="80"/>
      <c r="J28" s="80"/>
      <c r="K28" s="80"/>
      <c r="L28" s="80"/>
      <c r="M28" s="80"/>
      <c r="N28" s="80"/>
      <c r="O28" s="80"/>
      <c r="P28" s="80"/>
      <c r="Q28" s="80"/>
      <c r="R28" s="80"/>
      <c r="S28" s="80"/>
      <c r="T28" s="80"/>
      <c r="U28" s="80"/>
      <c r="V28" s="80"/>
    </row>
    <row r="30" spans="1:22" ht="15" customHeight="1">
      <c r="A30" s="13" t="s">
        <v>2206</v>
      </c>
      <c r="B30" s="13" t="s">
        <v>2123</v>
      </c>
      <c r="C30" s="13" t="s">
        <v>2207</v>
      </c>
      <c r="D30" s="13" t="s">
        <v>2130</v>
      </c>
      <c r="E30" s="13" t="s">
        <v>2208</v>
      </c>
      <c r="F30" s="13" t="s">
        <v>2132</v>
      </c>
      <c r="G30" s="13" t="s">
        <v>2209</v>
      </c>
      <c r="H30" s="13" t="s">
        <v>2134</v>
      </c>
      <c r="I30" s="13" t="s">
        <v>2210</v>
      </c>
      <c r="J30" s="13" t="s">
        <v>2139</v>
      </c>
      <c r="K30" s="13" t="s">
        <v>2211</v>
      </c>
      <c r="L30" s="13" t="s">
        <v>2146</v>
      </c>
      <c r="M30" s="13" t="s">
        <v>2212</v>
      </c>
      <c r="N30" s="13" t="s">
        <v>2148</v>
      </c>
      <c r="O30" s="13" t="s">
        <v>2213</v>
      </c>
      <c r="P30" s="13" t="s">
        <v>2150</v>
      </c>
      <c r="Q30" s="13" t="s">
        <v>2214</v>
      </c>
      <c r="R30" s="13" t="s">
        <v>2153</v>
      </c>
      <c r="S30" s="13" t="s">
        <v>2215</v>
      </c>
      <c r="T30" s="13" t="s">
        <v>2156</v>
      </c>
      <c r="U30" s="13" t="s">
        <v>2216</v>
      </c>
      <c r="V30" s="13" t="s">
        <v>2160</v>
      </c>
    </row>
    <row r="31" spans="1:22" ht="15">
      <c r="A31" s="83" t="s">
        <v>1428</v>
      </c>
      <c r="B31" s="83">
        <v>121</v>
      </c>
      <c r="C31" s="83" t="s">
        <v>1428</v>
      </c>
      <c r="D31" s="83">
        <v>68</v>
      </c>
      <c r="E31" s="83" t="s">
        <v>1455</v>
      </c>
      <c r="F31" s="83">
        <v>2</v>
      </c>
      <c r="G31" s="83" t="s">
        <v>1444</v>
      </c>
      <c r="H31" s="83">
        <v>10</v>
      </c>
      <c r="I31" s="83" t="s">
        <v>1439</v>
      </c>
      <c r="J31" s="83">
        <v>14</v>
      </c>
      <c r="K31" s="83" t="s">
        <v>1443</v>
      </c>
      <c r="L31" s="83">
        <v>11</v>
      </c>
      <c r="M31" s="83" t="s">
        <v>1428</v>
      </c>
      <c r="N31" s="83">
        <v>8</v>
      </c>
      <c r="O31" s="83" t="s">
        <v>1436</v>
      </c>
      <c r="P31" s="83">
        <v>6</v>
      </c>
      <c r="Q31" s="83" t="s">
        <v>1526</v>
      </c>
      <c r="R31" s="83">
        <v>7</v>
      </c>
      <c r="S31" s="83" t="s">
        <v>1437</v>
      </c>
      <c r="T31" s="83">
        <v>4</v>
      </c>
      <c r="U31" s="83" t="s">
        <v>1428</v>
      </c>
      <c r="V31" s="83">
        <v>6</v>
      </c>
    </row>
    <row r="32" spans="1:22" ht="15">
      <c r="A32" s="84" t="s">
        <v>1429</v>
      </c>
      <c r="B32" s="83">
        <v>60</v>
      </c>
      <c r="C32" s="83" t="s">
        <v>1430</v>
      </c>
      <c r="D32" s="83">
        <v>42</v>
      </c>
      <c r="E32" s="83"/>
      <c r="F32" s="83"/>
      <c r="G32" s="83" t="s">
        <v>1453</v>
      </c>
      <c r="H32" s="83">
        <v>10</v>
      </c>
      <c r="I32" s="83" t="s">
        <v>1468</v>
      </c>
      <c r="J32" s="83">
        <v>10</v>
      </c>
      <c r="K32" s="83" t="s">
        <v>1490</v>
      </c>
      <c r="L32" s="83">
        <v>9</v>
      </c>
      <c r="M32" s="83" t="s">
        <v>1429</v>
      </c>
      <c r="N32" s="83">
        <v>5</v>
      </c>
      <c r="O32" s="83" t="s">
        <v>1517</v>
      </c>
      <c r="P32" s="83">
        <v>6</v>
      </c>
      <c r="Q32" s="83" t="s">
        <v>1428</v>
      </c>
      <c r="R32" s="83">
        <v>7</v>
      </c>
      <c r="S32" s="83" t="s">
        <v>1580</v>
      </c>
      <c r="T32" s="83">
        <v>4</v>
      </c>
      <c r="U32" s="83" t="s">
        <v>1546</v>
      </c>
      <c r="V32" s="83">
        <v>4</v>
      </c>
    </row>
    <row r="33" spans="1:22" ht="15">
      <c r="A33" s="84" t="s">
        <v>1430</v>
      </c>
      <c r="B33" s="83">
        <v>58</v>
      </c>
      <c r="C33" s="83" t="s">
        <v>1429</v>
      </c>
      <c r="D33" s="83">
        <v>41</v>
      </c>
      <c r="E33" s="83"/>
      <c r="F33" s="83"/>
      <c r="G33" s="83" t="s">
        <v>1428</v>
      </c>
      <c r="H33" s="83">
        <v>6</v>
      </c>
      <c r="I33" s="83" t="s">
        <v>1473</v>
      </c>
      <c r="J33" s="83">
        <v>8</v>
      </c>
      <c r="K33" s="83" t="s">
        <v>1543</v>
      </c>
      <c r="L33" s="83">
        <v>6</v>
      </c>
      <c r="M33" s="83" t="s">
        <v>1437</v>
      </c>
      <c r="N33" s="83">
        <v>4</v>
      </c>
      <c r="O33" s="83" t="s">
        <v>1428</v>
      </c>
      <c r="P33" s="83">
        <v>4</v>
      </c>
      <c r="Q33" s="83" t="s">
        <v>1550</v>
      </c>
      <c r="R33" s="83">
        <v>6</v>
      </c>
      <c r="S33" s="83" t="s">
        <v>1478</v>
      </c>
      <c r="T33" s="83">
        <v>4</v>
      </c>
      <c r="U33" s="83" t="s">
        <v>1734</v>
      </c>
      <c r="V33" s="83">
        <v>3</v>
      </c>
    </row>
    <row r="34" spans="1:22" ht="15">
      <c r="A34" s="84" t="s">
        <v>1431</v>
      </c>
      <c r="B34" s="83">
        <v>44</v>
      </c>
      <c r="C34" s="83" t="s">
        <v>1431</v>
      </c>
      <c r="D34" s="83">
        <v>28</v>
      </c>
      <c r="E34" s="83"/>
      <c r="F34" s="83"/>
      <c r="G34" s="83" t="s">
        <v>1432</v>
      </c>
      <c r="H34" s="83">
        <v>6</v>
      </c>
      <c r="I34" s="83" t="s">
        <v>1482</v>
      </c>
      <c r="J34" s="83">
        <v>7</v>
      </c>
      <c r="K34" s="83" t="s">
        <v>1581</v>
      </c>
      <c r="L34" s="83">
        <v>5</v>
      </c>
      <c r="M34" s="83" t="s">
        <v>1632</v>
      </c>
      <c r="N34" s="83">
        <v>4</v>
      </c>
      <c r="O34" s="83" t="s">
        <v>1515</v>
      </c>
      <c r="P34" s="83">
        <v>4</v>
      </c>
      <c r="Q34" s="83" t="s">
        <v>1549</v>
      </c>
      <c r="R34" s="83">
        <v>5</v>
      </c>
      <c r="S34" s="83" t="s">
        <v>1644</v>
      </c>
      <c r="T34" s="83">
        <v>4</v>
      </c>
      <c r="U34" s="83" t="s">
        <v>1535</v>
      </c>
      <c r="V34" s="83">
        <v>2</v>
      </c>
    </row>
    <row r="35" spans="1:22" ht="15">
      <c r="A35" s="84" t="s">
        <v>1432</v>
      </c>
      <c r="B35" s="83">
        <v>33</v>
      </c>
      <c r="C35" s="83" t="s">
        <v>1433</v>
      </c>
      <c r="D35" s="83">
        <v>23</v>
      </c>
      <c r="E35" s="83"/>
      <c r="F35" s="83"/>
      <c r="G35" s="83" t="s">
        <v>1573</v>
      </c>
      <c r="H35" s="83">
        <v>5</v>
      </c>
      <c r="I35" s="83" t="s">
        <v>1509</v>
      </c>
      <c r="J35" s="83">
        <v>7</v>
      </c>
      <c r="K35" s="83" t="s">
        <v>1633</v>
      </c>
      <c r="L35" s="83">
        <v>4</v>
      </c>
      <c r="M35" s="83" t="s">
        <v>1507</v>
      </c>
      <c r="N35" s="83">
        <v>3</v>
      </c>
      <c r="O35" s="83" t="s">
        <v>1516</v>
      </c>
      <c r="P35" s="83">
        <v>4</v>
      </c>
      <c r="Q35" s="83" t="s">
        <v>1583</v>
      </c>
      <c r="R35" s="83">
        <v>5</v>
      </c>
      <c r="S35" s="83" t="s">
        <v>1645</v>
      </c>
      <c r="T35" s="83">
        <v>4</v>
      </c>
      <c r="U35" s="83" t="s">
        <v>1437</v>
      </c>
      <c r="V35" s="83">
        <v>2</v>
      </c>
    </row>
    <row r="36" spans="1:22" ht="15">
      <c r="A36" s="84" t="s">
        <v>1433</v>
      </c>
      <c r="B36" s="83">
        <v>30</v>
      </c>
      <c r="C36" s="83" t="s">
        <v>1435</v>
      </c>
      <c r="D36" s="83">
        <v>23</v>
      </c>
      <c r="E36" s="83"/>
      <c r="F36" s="83"/>
      <c r="G36" s="83" t="s">
        <v>1574</v>
      </c>
      <c r="H36" s="83">
        <v>5</v>
      </c>
      <c r="I36" s="83" t="s">
        <v>1461</v>
      </c>
      <c r="J36" s="83">
        <v>7</v>
      </c>
      <c r="K36" s="83" t="s">
        <v>1634</v>
      </c>
      <c r="L36" s="83">
        <v>4</v>
      </c>
      <c r="M36" s="83" t="s">
        <v>1638</v>
      </c>
      <c r="N36" s="83">
        <v>3</v>
      </c>
      <c r="O36" s="83" t="s">
        <v>1496</v>
      </c>
      <c r="P36" s="83">
        <v>4</v>
      </c>
      <c r="Q36" s="83" t="s">
        <v>1584</v>
      </c>
      <c r="R36" s="83">
        <v>5</v>
      </c>
      <c r="S36" s="83" t="s">
        <v>1507</v>
      </c>
      <c r="T36" s="83">
        <v>4</v>
      </c>
      <c r="U36" s="83" t="s">
        <v>1965</v>
      </c>
      <c r="V36" s="83">
        <v>2</v>
      </c>
    </row>
    <row r="37" spans="1:22" ht="15">
      <c r="A37" s="84" t="s">
        <v>1434</v>
      </c>
      <c r="B37" s="83">
        <v>28</v>
      </c>
      <c r="C37" s="83" t="s">
        <v>1432</v>
      </c>
      <c r="D37" s="83">
        <v>19</v>
      </c>
      <c r="E37" s="83"/>
      <c r="F37" s="83"/>
      <c r="G37" s="83" t="s">
        <v>1434</v>
      </c>
      <c r="H37" s="83">
        <v>4</v>
      </c>
      <c r="I37" s="83" t="s">
        <v>1483</v>
      </c>
      <c r="J37" s="83">
        <v>7</v>
      </c>
      <c r="K37" s="83" t="s">
        <v>1635</v>
      </c>
      <c r="L37" s="83">
        <v>4</v>
      </c>
      <c r="M37" s="83" t="s">
        <v>2052</v>
      </c>
      <c r="N37" s="83">
        <v>2</v>
      </c>
      <c r="O37" s="83" t="s">
        <v>1562</v>
      </c>
      <c r="P37" s="83">
        <v>4</v>
      </c>
      <c r="Q37" s="83" t="s">
        <v>1641</v>
      </c>
      <c r="R37" s="83">
        <v>4</v>
      </c>
      <c r="S37" s="83" t="s">
        <v>1445</v>
      </c>
      <c r="T37" s="83">
        <v>3</v>
      </c>
      <c r="U37" s="83" t="s">
        <v>1540</v>
      </c>
      <c r="V37" s="83">
        <v>2</v>
      </c>
    </row>
    <row r="38" spans="1:22" ht="15">
      <c r="A38" s="84" t="s">
        <v>1435</v>
      </c>
      <c r="B38" s="83">
        <v>28</v>
      </c>
      <c r="C38" s="83" t="s">
        <v>1438</v>
      </c>
      <c r="D38" s="83">
        <v>17</v>
      </c>
      <c r="E38" s="83"/>
      <c r="F38" s="83"/>
      <c r="G38" s="83" t="s">
        <v>1431</v>
      </c>
      <c r="H38" s="83">
        <v>4</v>
      </c>
      <c r="I38" s="83" t="s">
        <v>1510</v>
      </c>
      <c r="J38" s="83">
        <v>7</v>
      </c>
      <c r="K38" s="83" t="s">
        <v>1441</v>
      </c>
      <c r="L38" s="83">
        <v>4</v>
      </c>
      <c r="M38" s="83" t="s">
        <v>1497</v>
      </c>
      <c r="N38" s="83">
        <v>2</v>
      </c>
      <c r="O38" s="83" t="s">
        <v>1454</v>
      </c>
      <c r="P38" s="83">
        <v>3</v>
      </c>
      <c r="Q38" s="83" t="s">
        <v>1739</v>
      </c>
      <c r="R38" s="83">
        <v>3</v>
      </c>
      <c r="S38" s="83" t="s">
        <v>1514</v>
      </c>
      <c r="T38" s="83">
        <v>2</v>
      </c>
      <c r="U38" s="83"/>
      <c r="V38" s="83"/>
    </row>
    <row r="39" spans="1:22" ht="15">
      <c r="A39" s="84" t="s">
        <v>1436</v>
      </c>
      <c r="B39" s="83">
        <v>28</v>
      </c>
      <c r="C39" s="83" t="s">
        <v>1440</v>
      </c>
      <c r="D39" s="83">
        <v>15</v>
      </c>
      <c r="E39" s="83"/>
      <c r="F39" s="83"/>
      <c r="G39" s="83" t="s">
        <v>1436</v>
      </c>
      <c r="H39" s="83">
        <v>4</v>
      </c>
      <c r="I39" s="83" t="s">
        <v>1428</v>
      </c>
      <c r="J39" s="83">
        <v>7</v>
      </c>
      <c r="K39" s="83" t="s">
        <v>1488</v>
      </c>
      <c r="L39" s="83">
        <v>4</v>
      </c>
      <c r="M39" s="83" t="s">
        <v>2053</v>
      </c>
      <c r="N39" s="83">
        <v>2</v>
      </c>
      <c r="O39" s="83" t="s">
        <v>1445</v>
      </c>
      <c r="P39" s="83">
        <v>3</v>
      </c>
      <c r="Q39" s="83" t="s">
        <v>1740</v>
      </c>
      <c r="R39" s="83">
        <v>3</v>
      </c>
      <c r="S39" s="83" t="s">
        <v>1473</v>
      </c>
      <c r="T39" s="83">
        <v>2</v>
      </c>
      <c r="U39" s="83"/>
      <c r="V39" s="83"/>
    </row>
    <row r="40" spans="1:22" ht="15">
      <c r="A40" s="84" t="s">
        <v>1437</v>
      </c>
      <c r="B40" s="83">
        <v>26</v>
      </c>
      <c r="C40" s="83" t="s">
        <v>1434</v>
      </c>
      <c r="D40" s="83">
        <v>15</v>
      </c>
      <c r="E40" s="83"/>
      <c r="F40" s="83"/>
      <c r="G40" s="83" t="s">
        <v>1447</v>
      </c>
      <c r="H40" s="83">
        <v>4</v>
      </c>
      <c r="I40" s="83" t="s">
        <v>1475</v>
      </c>
      <c r="J40" s="83">
        <v>6</v>
      </c>
      <c r="K40" s="83" t="s">
        <v>1637</v>
      </c>
      <c r="L40" s="83">
        <v>4</v>
      </c>
      <c r="M40" s="83" t="s">
        <v>1630</v>
      </c>
      <c r="N40" s="83">
        <v>2</v>
      </c>
      <c r="O40" s="83" t="s">
        <v>1588</v>
      </c>
      <c r="P40" s="83">
        <v>2</v>
      </c>
      <c r="Q40" s="83" t="s">
        <v>1741</v>
      </c>
      <c r="R40" s="83">
        <v>3</v>
      </c>
      <c r="S40" s="83" t="s">
        <v>1754</v>
      </c>
      <c r="T40" s="83">
        <v>2</v>
      </c>
      <c r="U40" s="83"/>
      <c r="V40" s="83"/>
    </row>
    <row r="43" spans="1:22" ht="15" customHeight="1">
      <c r="A43" s="13" t="s">
        <v>2234</v>
      </c>
      <c r="B43" s="13" t="s">
        <v>2123</v>
      </c>
      <c r="C43" s="13" t="s">
        <v>2245</v>
      </c>
      <c r="D43" s="13" t="s">
        <v>2130</v>
      </c>
      <c r="E43" s="80" t="s">
        <v>2250</v>
      </c>
      <c r="F43" s="80" t="s">
        <v>2132</v>
      </c>
      <c r="G43" s="13" t="s">
        <v>2251</v>
      </c>
      <c r="H43" s="13" t="s">
        <v>2134</v>
      </c>
      <c r="I43" s="13" t="s">
        <v>2261</v>
      </c>
      <c r="J43" s="13" t="s">
        <v>2139</v>
      </c>
      <c r="K43" s="13" t="s">
        <v>2270</v>
      </c>
      <c r="L43" s="13" t="s">
        <v>2146</v>
      </c>
      <c r="M43" s="13" t="s">
        <v>2280</v>
      </c>
      <c r="N43" s="13" t="s">
        <v>2148</v>
      </c>
      <c r="O43" s="13" t="s">
        <v>2284</v>
      </c>
      <c r="P43" s="13" t="s">
        <v>2150</v>
      </c>
      <c r="Q43" s="13" t="s">
        <v>2291</v>
      </c>
      <c r="R43" s="13" t="s">
        <v>2153</v>
      </c>
      <c r="S43" s="13" t="s">
        <v>2302</v>
      </c>
      <c r="T43" s="13" t="s">
        <v>2156</v>
      </c>
      <c r="U43" s="13" t="s">
        <v>2313</v>
      </c>
      <c r="V43" s="13" t="s">
        <v>2160</v>
      </c>
    </row>
    <row r="44" spans="1:22" ht="15">
      <c r="A44" s="83" t="s">
        <v>2235</v>
      </c>
      <c r="B44" s="83">
        <v>15</v>
      </c>
      <c r="C44" s="83" t="s">
        <v>2236</v>
      </c>
      <c r="D44" s="83">
        <v>11</v>
      </c>
      <c r="E44" s="83"/>
      <c r="F44" s="83"/>
      <c r="G44" s="83" t="s">
        <v>2235</v>
      </c>
      <c r="H44" s="83">
        <v>10</v>
      </c>
      <c r="I44" s="83" t="s">
        <v>2243</v>
      </c>
      <c r="J44" s="83">
        <v>7</v>
      </c>
      <c r="K44" s="83" t="s">
        <v>2239</v>
      </c>
      <c r="L44" s="83">
        <v>4</v>
      </c>
      <c r="M44" s="83" t="s">
        <v>2281</v>
      </c>
      <c r="N44" s="83">
        <v>3</v>
      </c>
      <c r="O44" s="83" t="s">
        <v>2285</v>
      </c>
      <c r="P44" s="83">
        <v>4</v>
      </c>
      <c r="Q44" s="83" t="s">
        <v>2292</v>
      </c>
      <c r="R44" s="83">
        <v>3</v>
      </c>
      <c r="S44" s="83" t="s">
        <v>2303</v>
      </c>
      <c r="T44" s="83">
        <v>4</v>
      </c>
      <c r="U44" s="83" t="s">
        <v>2314</v>
      </c>
      <c r="V44" s="83">
        <v>3</v>
      </c>
    </row>
    <row r="45" spans="1:22" ht="15">
      <c r="A45" s="84" t="s">
        <v>2236</v>
      </c>
      <c r="B45" s="83">
        <v>14</v>
      </c>
      <c r="C45" s="83" t="s">
        <v>2241</v>
      </c>
      <c r="D45" s="83">
        <v>8</v>
      </c>
      <c r="E45" s="83"/>
      <c r="F45" s="83"/>
      <c r="G45" s="83" t="s">
        <v>2252</v>
      </c>
      <c r="H45" s="83">
        <v>5</v>
      </c>
      <c r="I45" s="83" t="s">
        <v>2244</v>
      </c>
      <c r="J45" s="83">
        <v>7</v>
      </c>
      <c r="K45" s="83" t="s">
        <v>2271</v>
      </c>
      <c r="L45" s="83">
        <v>2</v>
      </c>
      <c r="M45" s="83" t="s">
        <v>2282</v>
      </c>
      <c r="N45" s="83">
        <v>2</v>
      </c>
      <c r="O45" s="83" t="s">
        <v>2286</v>
      </c>
      <c r="P45" s="83">
        <v>2</v>
      </c>
      <c r="Q45" s="83" t="s">
        <v>2293</v>
      </c>
      <c r="R45" s="83">
        <v>2</v>
      </c>
      <c r="S45" s="83" t="s">
        <v>2304</v>
      </c>
      <c r="T45" s="83">
        <v>2</v>
      </c>
      <c r="U45" s="83" t="s">
        <v>2315</v>
      </c>
      <c r="V45" s="83">
        <v>2</v>
      </c>
    </row>
    <row r="46" spans="1:22" ht="15">
      <c r="A46" s="84" t="s">
        <v>2237</v>
      </c>
      <c r="B46" s="83">
        <v>10</v>
      </c>
      <c r="C46" s="83" t="s">
        <v>2240</v>
      </c>
      <c r="D46" s="83">
        <v>7</v>
      </c>
      <c r="E46" s="83"/>
      <c r="F46" s="83"/>
      <c r="G46" s="83" t="s">
        <v>2253</v>
      </c>
      <c r="H46" s="83">
        <v>5</v>
      </c>
      <c r="I46" s="83" t="s">
        <v>2262</v>
      </c>
      <c r="J46" s="83">
        <v>7</v>
      </c>
      <c r="K46" s="83" t="s">
        <v>2272</v>
      </c>
      <c r="L46" s="83">
        <v>2</v>
      </c>
      <c r="M46" s="83" t="s">
        <v>2283</v>
      </c>
      <c r="N46" s="83">
        <v>2</v>
      </c>
      <c r="O46" s="83" t="s">
        <v>2287</v>
      </c>
      <c r="P46" s="83">
        <v>2</v>
      </c>
      <c r="Q46" s="83" t="s">
        <v>2294</v>
      </c>
      <c r="R46" s="83">
        <v>2</v>
      </c>
      <c r="S46" s="83" t="s">
        <v>2305</v>
      </c>
      <c r="T46" s="83">
        <v>2</v>
      </c>
      <c r="U46" s="83" t="s">
        <v>2316</v>
      </c>
      <c r="V46" s="83">
        <v>2</v>
      </c>
    </row>
    <row r="47" spans="1:22" ht="15">
      <c r="A47" s="84" t="s">
        <v>2238</v>
      </c>
      <c r="B47" s="83">
        <v>10</v>
      </c>
      <c r="C47" s="83" t="s">
        <v>2242</v>
      </c>
      <c r="D47" s="83">
        <v>6</v>
      </c>
      <c r="E47" s="83"/>
      <c r="F47" s="83"/>
      <c r="G47" s="83" t="s">
        <v>2254</v>
      </c>
      <c r="H47" s="83">
        <v>3</v>
      </c>
      <c r="I47" s="83" t="s">
        <v>2263</v>
      </c>
      <c r="J47" s="83">
        <v>6</v>
      </c>
      <c r="K47" s="83" t="s">
        <v>2273</v>
      </c>
      <c r="L47" s="83">
        <v>2</v>
      </c>
      <c r="M47" s="83"/>
      <c r="N47" s="83"/>
      <c r="O47" s="83" t="s">
        <v>2288</v>
      </c>
      <c r="P47" s="83">
        <v>2</v>
      </c>
      <c r="Q47" s="83" t="s">
        <v>2295</v>
      </c>
      <c r="R47" s="83">
        <v>2</v>
      </c>
      <c r="S47" s="83" t="s">
        <v>2306</v>
      </c>
      <c r="T47" s="83">
        <v>2</v>
      </c>
      <c r="U47" s="83" t="s">
        <v>2317</v>
      </c>
      <c r="V47" s="83">
        <v>2</v>
      </c>
    </row>
    <row r="48" spans="1:22" ht="15">
      <c r="A48" s="84" t="s">
        <v>2239</v>
      </c>
      <c r="B48" s="83">
        <v>9</v>
      </c>
      <c r="C48" s="83" t="s">
        <v>2237</v>
      </c>
      <c r="D48" s="83">
        <v>6</v>
      </c>
      <c r="E48" s="83"/>
      <c r="F48" s="83"/>
      <c r="G48" s="83" t="s">
        <v>2255</v>
      </c>
      <c r="H48" s="83">
        <v>3</v>
      </c>
      <c r="I48" s="83" t="s">
        <v>2264</v>
      </c>
      <c r="J48" s="83">
        <v>6</v>
      </c>
      <c r="K48" s="83" t="s">
        <v>2274</v>
      </c>
      <c r="L48" s="83">
        <v>2</v>
      </c>
      <c r="M48" s="83"/>
      <c r="N48" s="83"/>
      <c r="O48" s="83" t="s">
        <v>2289</v>
      </c>
      <c r="P48" s="83">
        <v>2</v>
      </c>
      <c r="Q48" s="83" t="s">
        <v>2296</v>
      </c>
      <c r="R48" s="83">
        <v>2</v>
      </c>
      <c r="S48" s="83" t="s">
        <v>2307</v>
      </c>
      <c r="T48" s="83">
        <v>2</v>
      </c>
      <c r="U48" s="83"/>
      <c r="V48" s="83"/>
    </row>
    <row r="49" spans="1:22" ht="15">
      <c r="A49" s="84" t="s">
        <v>2240</v>
      </c>
      <c r="B49" s="83">
        <v>8</v>
      </c>
      <c r="C49" s="83" t="s">
        <v>2238</v>
      </c>
      <c r="D49" s="83">
        <v>6</v>
      </c>
      <c r="E49" s="83"/>
      <c r="F49" s="83"/>
      <c r="G49" s="83" t="s">
        <v>2256</v>
      </c>
      <c r="H49" s="83">
        <v>3</v>
      </c>
      <c r="I49" s="83" t="s">
        <v>2265</v>
      </c>
      <c r="J49" s="83">
        <v>6</v>
      </c>
      <c r="K49" s="83" t="s">
        <v>2275</v>
      </c>
      <c r="L49" s="83">
        <v>2</v>
      </c>
      <c r="M49" s="83"/>
      <c r="N49" s="83"/>
      <c r="O49" s="83" t="s">
        <v>2290</v>
      </c>
      <c r="P49" s="83">
        <v>2</v>
      </c>
      <c r="Q49" s="83" t="s">
        <v>2297</v>
      </c>
      <c r="R49" s="83">
        <v>2</v>
      </c>
      <c r="S49" s="83" t="s">
        <v>2308</v>
      </c>
      <c r="T49" s="83">
        <v>2</v>
      </c>
      <c r="U49" s="83"/>
      <c r="V49" s="83"/>
    </row>
    <row r="50" spans="1:22" ht="15">
      <c r="A50" s="84" t="s">
        <v>2241</v>
      </c>
      <c r="B50" s="83">
        <v>8</v>
      </c>
      <c r="C50" s="83" t="s">
        <v>2246</v>
      </c>
      <c r="D50" s="83">
        <v>6</v>
      </c>
      <c r="E50" s="83"/>
      <c r="F50" s="83"/>
      <c r="G50" s="83" t="s">
        <v>2257</v>
      </c>
      <c r="H50" s="83">
        <v>3</v>
      </c>
      <c r="I50" s="83" t="s">
        <v>2266</v>
      </c>
      <c r="J50" s="83">
        <v>6</v>
      </c>
      <c r="K50" s="83" t="s">
        <v>2276</v>
      </c>
      <c r="L50" s="83">
        <v>2</v>
      </c>
      <c r="M50" s="83"/>
      <c r="N50" s="83"/>
      <c r="O50" s="83"/>
      <c r="P50" s="83"/>
      <c r="Q50" s="83" t="s">
        <v>2298</v>
      </c>
      <c r="R50" s="83">
        <v>2</v>
      </c>
      <c r="S50" s="83" t="s">
        <v>2309</v>
      </c>
      <c r="T50" s="83">
        <v>2</v>
      </c>
      <c r="U50" s="83"/>
      <c r="V50" s="83"/>
    </row>
    <row r="51" spans="1:22" ht="15">
      <c r="A51" s="84" t="s">
        <v>2242</v>
      </c>
      <c r="B51" s="83">
        <v>8</v>
      </c>
      <c r="C51" s="83" t="s">
        <v>2247</v>
      </c>
      <c r="D51" s="83">
        <v>5</v>
      </c>
      <c r="E51" s="83"/>
      <c r="F51" s="83"/>
      <c r="G51" s="83" t="s">
        <v>2258</v>
      </c>
      <c r="H51" s="83">
        <v>3</v>
      </c>
      <c r="I51" s="83" t="s">
        <v>2267</v>
      </c>
      <c r="J51" s="83">
        <v>6</v>
      </c>
      <c r="K51" s="83" t="s">
        <v>2277</v>
      </c>
      <c r="L51" s="83">
        <v>2</v>
      </c>
      <c r="M51" s="83"/>
      <c r="N51" s="83"/>
      <c r="O51" s="83"/>
      <c r="P51" s="83"/>
      <c r="Q51" s="83" t="s">
        <v>2299</v>
      </c>
      <c r="R51" s="83">
        <v>2</v>
      </c>
      <c r="S51" s="83" t="s">
        <v>2310</v>
      </c>
      <c r="T51" s="83">
        <v>2</v>
      </c>
      <c r="U51" s="83"/>
      <c r="V51" s="83"/>
    </row>
    <row r="52" spans="1:22" ht="15">
      <c r="A52" s="84" t="s">
        <v>2243</v>
      </c>
      <c r="B52" s="83">
        <v>7</v>
      </c>
      <c r="C52" s="83" t="s">
        <v>2248</v>
      </c>
      <c r="D52" s="83">
        <v>5</v>
      </c>
      <c r="E52" s="83"/>
      <c r="F52" s="83"/>
      <c r="G52" s="83" t="s">
        <v>2259</v>
      </c>
      <c r="H52" s="83">
        <v>3</v>
      </c>
      <c r="I52" s="83" t="s">
        <v>2268</v>
      </c>
      <c r="J52" s="83">
        <v>6</v>
      </c>
      <c r="K52" s="83" t="s">
        <v>2278</v>
      </c>
      <c r="L52" s="83">
        <v>2</v>
      </c>
      <c r="M52" s="83"/>
      <c r="N52" s="83"/>
      <c r="O52" s="83"/>
      <c r="P52" s="83"/>
      <c r="Q52" s="83" t="s">
        <v>2300</v>
      </c>
      <c r="R52" s="83">
        <v>2</v>
      </c>
      <c r="S52" s="83" t="s">
        <v>2311</v>
      </c>
      <c r="T52" s="83">
        <v>2</v>
      </c>
      <c r="U52" s="83"/>
      <c r="V52" s="83"/>
    </row>
    <row r="53" spans="1:22" ht="15">
      <c r="A53" s="84" t="s">
        <v>2244</v>
      </c>
      <c r="B53" s="83">
        <v>7</v>
      </c>
      <c r="C53" s="83" t="s">
        <v>2249</v>
      </c>
      <c r="D53" s="83">
        <v>5</v>
      </c>
      <c r="E53" s="83"/>
      <c r="F53" s="83"/>
      <c r="G53" s="83" t="s">
        <v>2260</v>
      </c>
      <c r="H53" s="83">
        <v>3</v>
      </c>
      <c r="I53" s="83" t="s">
        <v>2269</v>
      </c>
      <c r="J53" s="83">
        <v>6</v>
      </c>
      <c r="K53" s="83" t="s">
        <v>2279</v>
      </c>
      <c r="L53" s="83">
        <v>2</v>
      </c>
      <c r="M53" s="83"/>
      <c r="N53" s="83"/>
      <c r="O53" s="83"/>
      <c r="P53" s="83"/>
      <c r="Q53" s="83" t="s">
        <v>2301</v>
      </c>
      <c r="R53" s="83">
        <v>2</v>
      </c>
      <c r="S53" s="83" t="s">
        <v>2312</v>
      </c>
      <c r="T53" s="83">
        <v>2</v>
      </c>
      <c r="U53" s="83"/>
      <c r="V53" s="83"/>
    </row>
  </sheetData>
  <hyperlinks>
    <hyperlink ref="A2" r:id="rId1" display="http://www.youtube.com/results?search_query=%23SaveBabakanSiliwangi"/>
    <hyperlink ref="A3" r:id="rId2" display="https://www.smrfoundation.org/nodexl/installation/"/>
    <hyperlink ref="A4" r:id="rId3" display="http://www.youtube.com/results?search_query=%23adidas"/>
    <hyperlink ref="A5" r:id="rId4" display="http://maine.edu/"/>
    <hyperlink ref="A6" r:id="rId5" display="http://www.youtube.com/results?search_query=%23love"/>
    <hyperlink ref="A7" r:id="rId6" display="https://www.youtube.com/watch?v=lbb2lMCSg64"/>
    <hyperlink ref="A8" r:id="rId7" display="https://nodexlgraphgallery.org/Pages/registration.aspx"/>
    <hyperlink ref="A9" r:id="rId8" display="http://www.youtube.com/results?search_query=%23SaveBabakan"/>
    <hyperlink ref="A10" r:id="rId9" display="https://nodexlgraphgallery.org/Pages/registration.asp"/>
    <hyperlink ref="A11" r:id="rId10" display="https://www.smrfoundation.org/2019/09/05/nodexl-pro-facebook-data-importers-no-longer-functional/"/>
    <hyperlink ref="C2" r:id="rId11" display="https://www.smrfoundation.org/nodexl/installation/"/>
    <hyperlink ref="C3" r:id="rId12" display="http://maine.edu/"/>
    <hyperlink ref="C4" r:id="rId13" display="https://www.peteraldhous.com/CAR/NodeXL_CAR2012.pdf"/>
    <hyperlink ref="C5" r:id="rId14" display="http://www.nodexlgraphgallery.org/Pages/Graph.aspx?graphID=57173"/>
    <hyperlink ref="C6" r:id="rId15" display="http://www.amazon.com/Analyzing-Social-Media-Networks-NodeXL/dp/0123822297"/>
    <hyperlink ref="C7" r:id="rId16" display="https://nodexlgraphgallery.org/Pages/registration.asp"/>
    <hyperlink ref="C8" r:id="rId17" display="https://nodexlgraphgallery.org/Pages/registration.aspx"/>
    <hyperlink ref="C9" r:id="rId18" display="https://www.youtube.com/watch?v=lbb2lMCSg64"/>
    <hyperlink ref="C10" r:id="rId19" display="http://www.youtube.com/results?search_query=%23love"/>
    <hyperlink ref="C11" r:id="rId20" display="http://developer.twitter.com/"/>
    <hyperlink ref="G2" r:id="rId21" display="http://www.youtube.com/results?search_query=%23SaveBabakanSiliwangi"/>
    <hyperlink ref="G3" r:id="rId22" display="http://www.youtube.com/results?search_query=%23adidas"/>
    <hyperlink ref="G4" r:id="rId23" display="http://www.youtube.com/results?search_query=%23SaveBabakan"/>
    <hyperlink ref="I2" r:id="rId24" display="https://www.smrfoundation.org/2019/09/05/nodexl-pro-facebook-data-importers-no-longer-functional/"/>
    <hyperlink ref="I3" r:id="rId25" display="https://docs.google.com/document/d/1GdYAVkfBXcNrpG_b_EAZwHldbSvUpY3GFjEESWu474c/edit?usp=sharing"/>
    <hyperlink ref="I4" r:id="rId26" display="https://vivianfrancos.com/conoce-tus-mapas-de-audiencia-nodexl/"/>
    <hyperlink ref="I5" r:id="rId27" display="http://vivianfrancos.com/"/>
    <hyperlink ref="K2" r:id="rId28" display="https://drive.google.com/file/d/1setCSR5TRFgLAsY6IIbyKG9_eT02Ay5C/view?usp=sharing"/>
    <hyperlink ref="K3" r:id="rId29" display="https://www.nodexlgraphgallery.org/Pages/Registration.aspx"/>
    <hyperlink ref="K4" r:id="rId30" display="http://download.cnet.com/NodeXL/3001-2077_4-10967171.html"/>
    <hyperlink ref="K5" r:id="rId31" display="http://www.youtube.com/results?search_query=%23m%C3%BClteci"/>
    <hyperlink ref="K6" r:id="rId32" display="http://nodexl.codeplex.com/"/>
    <hyperlink ref="Q2" r:id="rId33" display="http://blog.ibpad.com.br/"/>
    <hyperlink ref="S2" r:id="rId34" display="http://www.youtube.com/watch?v=39yXz72qdow&amp;amp;t=4m08s"/>
    <hyperlink ref="U2" r:id="rId35" display="https://archive.codeplex.com/?p=nodexl"/>
    <hyperlink ref="U3" r:id="rId36" display="https://nodexl.codeplex.com/"/>
    <hyperlink ref="U4" r:id="rId37" display="https://nodexl.codeplex.com/"/>
  </hyperlinks>
  <printOptions/>
  <pageMargins left="0.7" right="0.7" top="0.75" bottom="0.75" header="0.3" footer="0.3"/>
  <pageSetup orientation="portrait" paperSize="9"/>
  <tableParts>
    <tablePart r:id="rId42"/>
    <tablePart r:id="rId38"/>
    <tablePart r:id="rId40"/>
    <tablePart r:id="rId39"/>
    <tablePart r:id="rId4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78BE9-BCD5-41A1-B2AC-EA7BBA8B2991}">
  <dimension ref="A25:B431"/>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17" t="s">
        <v>2724</v>
      </c>
      <c r="B25" t="s">
        <v>2723</v>
      </c>
    </row>
    <row r="26" spans="1:2" ht="15">
      <c r="A26" s="118" t="s">
        <v>2726</v>
      </c>
      <c r="B26" s="3">
        <v>1</v>
      </c>
    </row>
    <row r="27" spans="1:2" ht="15">
      <c r="A27" s="119" t="s">
        <v>2727</v>
      </c>
      <c r="B27" s="3">
        <v>1</v>
      </c>
    </row>
    <row r="28" spans="1:2" ht="15">
      <c r="A28" s="120" t="s">
        <v>2728</v>
      </c>
      <c r="B28" s="3">
        <v>1</v>
      </c>
    </row>
    <row r="29" spans="1:2" ht="15">
      <c r="A29" s="118" t="s">
        <v>2729</v>
      </c>
      <c r="B29" s="3">
        <v>2</v>
      </c>
    </row>
    <row r="30" spans="1:2" ht="15">
      <c r="A30" s="119" t="s">
        <v>2730</v>
      </c>
      <c r="B30" s="3">
        <v>1</v>
      </c>
    </row>
    <row r="31" spans="1:2" ht="15">
      <c r="A31" s="120" t="s">
        <v>2731</v>
      </c>
      <c r="B31" s="3">
        <v>1</v>
      </c>
    </row>
    <row r="32" spans="1:2" ht="15">
      <c r="A32" s="119" t="s">
        <v>2732</v>
      </c>
      <c r="B32" s="3">
        <v>1</v>
      </c>
    </row>
    <row r="33" spans="1:2" ht="15">
      <c r="A33" s="120" t="s">
        <v>2733</v>
      </c>
      <c r="B33" s="3">
        <v>1</v>
      </c>
    </row>
    <row r="34" spans="1:2" ht="15">
      <c r="A34" s="118" t="s">
        <v>2734</v>
      </c>
      <c r="B34" s="3">
        <v>3</v>
      </c>
    </row>
    <row r="35" spans="1:2" ht="15">
      <c r="A35" s="119" t="s">
        <v>2735</v>
      </c>
      <c r="B35" s="3">
        <v>1</v>
      </c>
    </row>
    <row r="36" spans="1:2" ht="15">
      <c r="A36" s="120" t="s">
        <v>2736</v>
      </c>
      <c r="B36" s="3">
        <v>1</v>
      </c>
    </row>
    <row r="37" spans="1:2" ht="15">
      <c r="A37" s="119" t="s">
        <v>2730</v>
      </c>
      <c r="B37" s="3">
        <v>2</v>
      </c>
    </row>
    <row r="38" spans="1:2" ht="15">
      <c r="A38" s="120" t="s">
        <v>2737</v>
      </c>
      <c r="B38" s="3">
        <v>1</v>
      </c>
    </row>
    <row r="39" spans="1:2" ht="15">
      <c r="A39" s="120" t="s">
        <v>2738</v>
      </c>
      <c r="B39" s="3">
        <v>1</v>
      </c>
    </row>
    <row r="40" spans="1:2" ht="15">
      <c r="A40" s="118" t="s">
        <v>2739</v>
      </c>
      <c r="B40" s="3">
        <v>14</v>
      </c>
    </row>
    <row r="41" spans="1:2" ht="15">
      <c r="A41" s="119" t="s">
        <v>2740</v>
      </c>
      <c r="B41" s="3">
        <v>1</v>
      </c>
    </row>
    <row r="42" spans="1:2" ht="15">
      <c r="A42" s="120" t="s">
        <v>2741</v>
      </c>
      <c r="B42" s="3">
        <v>1</v>
      </c>
    </row>
    <row r="43" spans="1:2" ht="15">
      <c r="A43" s="119" t="s">
        <v>2742</v>
      </c>
      <c r="B43" s="3">
        <v>6</v>
      </c>
    </row>
    <row r="44" spans="1:2" ht="15">
      <c r="A44" s="120" t="s">
        <v>2743</v>
      </c>
      <c r="B44" s="3">
        <v>2</v>
      </c>
    </row>
    <row r="45" spans="1:2" ht="15">
      <c r="A45" s="120" t="s">
        <v>2744</v>
      </c>
      <c r="B45" s="3">
        <v>3</v>
      </c>
    </row>
    <row r="46" spans="1:2" ht="15">
      <c r="A46" s="120" t="s">
        <v>2745</v>
      </c>
      <c r="B46" s="3">
        <v>1</v>
      </c>
    </row>
    <row r="47" spans="1:2" ht="15">
      <c r="A47" s="119" t="s">
        <v>2746</v>
      </c>
      <c r="B47" s="3">
        <v>1</v>
      </c>
    </row>
    <row r="48" spans="1:2" ht="15">
      <c r="A48" s="120" t="s">
        <v>2747</v>
      </c>
      <c r="B48" s="3">
        <v>1</v>
      </c>
    </row>
    <row r="49" spans="1:2" ht="15">
      <c r="A49" s="119" t="s">
        <v>2732</v>
      </c>
      <c r="B49" s="3">
        <v>5</v>
      </c>
    </row>
    <row r="50" spans="1:2" ht="15">
      <c r="A50" s="120" t="s">
        <v>2748</v>
      </c>
      <c r="B50" s="3">
        <v>1</v>
      </c>
    </row>
    <row r="51" spans="1:2" ht="15">
      <c r="A51" s="120" t="s">
        <v>2749</v>
      </c>
      <c r="B51" s="3">
        <v>2</v>
      </c>
    </row>
    <row r="52" spans="1:2" ht="15">
      <c r="A52" s="120" t="s">
        <v>2750</v>
      </c>
      <c r="B52" s="3">
        <v>1</v>
      </c>
    </row>
    <row r="53" spans="1:2" ht="15">
      <c r="A53" s="120" t="s">
        <v>2751</v>
      </c>
      <c r="B53" s="3">
        <v>1</v>
      </c>
    </row>
    <row r="54" spans="1:2" ht="15">
      <c r="A54" s="119" t="s">
        <v>2752</v>
      </c>
      <c r="B54" s="3">
        <v>1</v>
      </c>
    </row>
    <row r="55" spans="1:2" ht="15">
      <c r="A55" s="120" t="s">
        <v>2753</v>
      </c>
      <c r="B55" s="3">
        <v>1</v>
      </c>
    </row>
    <row r="56" spans="1:2" ht="15">
      <c r="A56" s="118" t="s">
        <v>1729</v>
      </c>
      <c r="B56" s="3">
        <v>29</v>
      </c>
    </row>
    <row r="57" spans="1:2" ht="15">
      <c r="A57" s="119" t="s">
        <v>2754</v>
      </c>
      <c r="B57" s="3">
        <v>1</v>
      </c>
    </row>
    <row r="58" spans="1:2" ht="15">
      <c r="A58" s="120" t="s">
        <v>2755</v>
      </c>
      <c r="B58" s="3">
        <v>1</v>
      </c>
    </row>
    <row r="59" spans="1:2" ht="15">
      <c r="A59" s="119" t="s">
        <v>2735</v>
      </c>
      <c r="B59" s="3">
        <v>2</v>
      </c>
    </row>
    <row r="60" spans="1:2" ht="15">
      <c r="A60" s="120" t="s">
        <v>2756</v>
      </c>
      <c r="B60" s="3">
        <v>1</v>
      </c>
    </row>
    <row r="61" spans="1:2" ht="15">
      <c r="A61" s="120" t="s">
        <v>2757</v>
      </c>
      <c r="B61" s="3">
        <v>1</v>
      </c>
    </row>
    <row r="62" spans="1:2" ht="15">
      <c r="A62" s="119" t="s">
        <v>2740</v>
      </c>
      <c r="B62" s="3">
        <v>3</v>
      </c>
    </row>
    <row r="63" spans="1:2" ht="15">
      <c r="A63" s="120" t="s">
        <v>2758</v>
      </c>
      <c r="B63" s="3">
        <v>1</v>
      </c>
    </row>
    <row r="64" spans="1:2" ht="15">
      <c r="A64" s="120" t="s">
        <v>2759</v>
      </c>
      <c r="B64" s="3">
        <v>1</v>
      </c>
    </row>
    <row r="65" spans="1:2" ht="15">
      <c r="A65" s="120" t="s">
        <v>2760</v>
      </c>
      <c r="B65" s="3">
        <v>1</v>
      </c>
    </row>
    <row r="66" spans="1:2" ht="15">
      <c r="A66" s="119" t="s">
        <v>2742</v>
      </c>
      <c r="B66" s="3">
        <v>3</v>
      </c>
    </row>
    <row r="67" spans="1:2" ht="15">
      <c r="A67" s="120" t="s">
        <v>2761</v>
      </c>
      <c r="B67" s="3">
        <v>1</v>
      </c>
    </row>
    <row r="68" spans="1:2" ht="15">
      <c r="A68" s="120" t="s">
        <v>2762</v>
      </c>
      <c r="B68" s="3">
        <v>1</v>
      </c>
    </row>
    <row r="69" spans="1:2" ht="15">
      <c r="A69" s="120" t="s">
        <v>2763</v>
      </c>
      <c r="B69" s="3">
        <v>1</v>
      </c>
    </row>
    <row r="70" spans="1:2" ht="15">
      <c r="A70" s="119" t="s">
        <v>2727</v>
      </c>
      <c r="B70" s="3">
        <v>2</v>
      </c>
    </row>
    <row r="71" spans="1:2" ht="15">
      <c r="A71" s="120" t="s">
        <v>2764</v>
      </c>
      <c r="B71" s="3">
        <v>1</v>
      </c>
    </row>
    <row r="72" spans="1:2" ht="15">
      <c r="A72" s="120" t="s">
        <v>2765</v>
      </c>
      <c r="B72" s="3">
        <v>1</v>
      </c>
    </row>
    <row r="73" spans="1:2" ht="15">
      <c r="A73" s="119" t="s">
        <v>2730</v>
      </c>
      <c r="B73" s="3">
        <v>1</v>
      </c>
    </row>
    <row r="74" spans="1:2" ht="15">
      <c r="A74" s="120" t="s">
        <v>2766</v>
      </c>
      <c r="B74" s="3">
        <v>1</v>
      </c>
    </row>
    <row r="75" spans="1:2" ht="15">
      <c r="A75" s="119" t="s">
        <v>2732</v>
      </c>
      <c r="B75" s="3">
        <v>2</v>
      </c>
    </row>
    <row r="76" spans="1:2" ht="15">
      <c r="A76" s="120" t="s">
        <v>2767</v>
      </c>
      <c r="B76" s="3">
        <v>1</v>
      </c>
    </row>
    <row r="77" spans="1:2" ht="15">
      <c r="A77" s="120" t="s">
        <v>2750</v>
      </c>
      <c r="B77" s="3">
        <v>1</v>
      </c>
    </row>
    <row r="78" spans="1:2" ht="15">
      <c r="A78" s="119" t="s">
        <v>2752</v>
      </c>
      <c r="B78" s="3">
        <v>5</v>
      </c>
    </row>
    <row r="79" spans="1:2" ht="15">
      <c r="A79" s="120" t="s">
        <v>2768</v>
      </c>
      <c r="B79" s="3">
        <v>1</v>
      </c>
    </row>
    <row r="80" spans="1:2" ht="15">
      <c r="A80" s="120" t="s">
        <v>2769</v>
      </c>
      <c r="B80" s="3">
        <v>1</v>
      </c>
    </row>
    <row r="81" spans="1:2" ht="15">
      <c r="A81" s="120" t="s">
        <v>2770</v>
      </c>
      <c r="B81" s="3">
        <v>1</v>
      </c>
    </row>
    <row r="82" spans="1:2" ht="15">
      <c r="A82" s="120" t="s">
        <v>2771</v>
      </c>
      <c r="B82" s="3">
        <v>1</v>
      </c>
    </row>
    <row r="83" spans="1:2" ht="15">
      <c r="A83" s="120" t="s">
        <v>2772</v>
      </c>
      <c r="B83" s="3">
        <v>1</v>
      </c>
    </row>
    <row r="84" spans="1:2" ht="15">
      <c r="A84" s="119" t="s">
        <v>2773</v>
      </c>
      <c r="B84" s="3">
        <v>3</v>
      </c>
    </row>
    <row r="85" spans="1:2" ht="15">
      <c r="A85" s="120" t="s">
        <v>2774</v>
      </c>
      <c r="B85" s="3">
        <v>1</v>
      </c>
    </row>
    <row r="86" spans="1:2" ht="15">
      <c r="A86" s="120" t="s">
        <v>2775</v>
      </c>
      <c r="B86" s="3">
        <v>1</v>
      </c>
    </row>
    <row r="87" spans="1:2" ht="15">
      <c r="A87" s="120" t="s">
        <v>2776</v>
      </c>
      <c r="B87" s="3">
        <v>1</v>
      </c>
    </row>
    <row r="88" spans="1:2" ht="15">
      <c r="A88" s="119" t="s">
        <v>2777</v>
      </c>
      <c r="B88" s="3">
        <v>7</v>
      </c>
    </row>
    <row r="89" spans="1:2" ht="15">
      <c r="A89" s="120" t="s">
        <v>2778</v>
      </c>
      <c r="B89" s="3">
        <v>1</v>
      </c>
    </row>
    <row r="90" spans="1:2" ht="15">
      <c r="A90" s="120" t="s">
        <v>2779</v>
      </c>
      <c r="B90" s="3">
        <v>6</v>
      </c>
    </row>
    <row r="91" spans="1:2" ht="15">
      <c r="A91" s="118" t="s">
        <v>2780</v>
      </c>
      <c r="B91" s="3">
        <v>27</v>
      </c>
    </row>
    <row r="92" spans="1:2" ht="15">
      <c r="A92" s="119" t="s">
        <v>2754</v>
      </c>
      <c r="B92" s="3">
        <v>2</v>
      </c>
    </row>
    <row r="93" spans="1:2" ht="15">
      <c r="A93" s="120" t="s">
        <v>2755</v>
      </c>
      <c r="B93" s="3">
        <v>2</v>
      </c>
    </row>
    <row r="94" spans="1:2" ht="15">
      <c r="A94" s="119" t="s">
        <v>2735</v>
      </c>
      <c r="B94" s="3">
        <v>1</v>
      </c>
    </row>
    <row r="95" spans="1:2" ht="15">
      <c r="A95" s="120" t="s">
        <v>2781</v>
      </c>
      <c r="B95" s="3">
        <v>1</v>
      </c>
    </row>
    <row r="96" spans="1:2" ht="15">
      <c r="A96" s="119" t="s">
        <v>2742</v>
      </c>
      <c r="B96" s="3">
        <v>6</v>
      </c>
    </row>
    <row r="97" spans="1:2" ht="15">
      <c r="A97" s="120" t="s">
        <v>2782</v>
      </c>
      <c r="B97" s="3">
        <v>3</v>
      </c>
    </row>
    <row r="98" spans="1:2" ht="15">
      <c r="A98" s="120" t="s">
        <v>2744</v>
      </c>
      <c r="B98" s="3">
        <v>1</v>
      </c>
    </row>
    <row r="99" spans="1:2" ht="15">
      <c r="A99" s="120" t="s">
        <v>2783</v>
      </c>
      <c r="B99" s="3">
        <v>2</v>
      </c>
    </row>
    <row r="100" spans="1:2" ht="15">
      <c r="A100" s="119" t="s">
        <v>2727</v>
      </c>
      <c r="B100" s="3">
        <v>4</v>
      </c>
    </row>
    <row r="101" spans="1:2" ht="15">
      <c r="A101" s="120" t="s">
        <v>2784</v>
      </c>
      <c r="B101" s="3">
        <v>1</v>
      </c>
    </row>
    <row r="102" spans="1:2" ht="15">
      <c r="A102" s="120" t="s">
        <v>2785</v>
      </c>
      <c r="B102" s="3">
        <v>2</v>
      </c>
    </row>
    <row r="103" spans="1:2" ht="15">
      <c r="A103" s="120" t="s">
        <v>2728</v>
      </c>
      <c r="B103" s="3">
        <v>1</v>
      </c>
    </row>
    <row r="104" spans="1:2" ht="15">
      <c r="A104" s="119" t="s">
        <v>2746</v>
      </c>
      <c r="B104" s="3">
        <v>2</v>
      </c>
    </row>
    <row r="105" spans="1:2" ht="15">
      <c r="A105" s="120" t="s">
        <v>2747</v>
      </c>
      <c r="B105" s="3">
        <v>2</v>
      </c>
    </row>
    <row r="106" spans="1:2" ht="15">
      <c r="A106" s="119" t="s">
        <v>2730</v>
      </c>
      <c r="B106" s="3">
        <v>4</v>
      </c>
    </row>
    <row r="107" spans="1:2" ht="15">
      <c r="A107" s="120" t="s">
        <v>2786</v>
      </c>
      <c r="B107" s="3">
        <v>1</v>
      </c>
    </row>
    <row r="108" spans="1:2" ht="15">
      <c r="A108" s="120" t="s">
        <v>2787</v>
      </c>
      <c r="B108" s="3">
        <v>1</v>
      </c>
    </row>
    <row r="109" spans="1:2" ht="15">
      <c r="A109" s="120" t="s">
        <v>2788</v>
      </c>
      <c r="B109" s="3">
        <v>1</v>
      </c>
    </row>
    <row r="110" spans="1:2" ht="15">
      <c r="A110" s="120" t="s">
        <v>2789</v>
      </c>
      <c r="B110" s="3">
        <v>1</v>
      </c>
    </row>
    <row r="111" spans="1:2" ht="15">
      <c r="A111" s="119" t="s">
        <v>2732</v>
      </c>
      <c r="B111" s="3">
        <v>2</v>
      </c>
    </row>
    <row r="112" spans="1:2" ht="15">
      <c r="A112" s="120" t="s">
        <v>2790</v>
      </c>
      <c r="B112" s="3">
        <v>1</v>
      </c>
    </row>
    <row r="113" spans="1:2" ht="15">
      <c r="A113" s="120" t="s">
        <v>2791</v>
      </c>
      <c r="B113" s="3">
        <v>1</v>
      </c>
    </row>
    <row r="114" spans="1:2" ht="15">
      <c r="A114" s="119" t="s">
        <v>2752</v>
      </c>
      <c r="B114" s="3">
        <v>1</v>
      </c>
    </row>
    <row r="115" spans="1:2" ht="15">
      <c r="A115" s="120" t="s">
        <v>2792</v>
      </c>
      <c r="B115" s="3">
        <v>1</v>
      </c>
    </row>
    <row r="116" spans="1:2" ht="15">
      <c r="A116" s="119" t="s">
        <v>2777</v>
      </c>
      <c r="B116" s="3">
        <v>5</v>
      </c>
    </row>
    <row r="117" spans="1:2" ht="15">
      <c r="A117" s="120" t="s">
        <v>2793</v>
      </c>
      <c r="B117" s="3">
        <v>1</v>
      </c>
    </row>
    <row r="118" spans="1:2" ht="15">
      <c r="A118" s="120" t="s">
        <v>2794</v>
      </c>
      <c r="B118" s="3">
        <v>2</v>
      </c>
    </row>
    <row r="119" spans="1:2" ht="15">
      <c r="A119" s="120" t="s">
        <v>2795</v>
      </c>
      <c r="B119" s="3">
        <v>2</v>
      </c>
    </row>
    <row r="120" spans="1:2" ht="15">
      <c r="A120" s="118" t="s">
        <v>2796</v>
      </c>
      <c r="B120" s="3">
        <v>63</v>
      </c>
    </row>
    <row r="121" spans="1:2" ht="15">
      <c r="A121" s="119" t="s">
        <v>2754</v>
      </c>
      <c r="B121" s="3">
        <v>1</v>
      </c>
    </row>
    <row r="122" spans="1:2" ht="15">
      <c r="A122" s="120" t="s">
        <v>2797</v>
      </c>
      <c r="B122" s="3">
        <v>1</v>
      </c>
    </row>
    <row r="123" spans="1:2" ht="15">
      <c r="A123" s="119" t="s">
        <v>2735</v>
      </c>
      <c r="B123" s="3">
        <v>5</v>
      </c>
    </row>
    <row r="124" spans="1:2" ht="15">
      <c r="A124" s="120" t="s">
        <v>2798</v>
      </c>
      <c r="B124" s="3">
        <v>1</v>
      </c>
    </row>
    <row r="125" spans="1:2" ht="15">
      <c r="A125" s="120" t="s">
        <v>2781</v>
      </c>
      <c r="B125" s="3">
        <v>1</v>
      </c>
    </row>
    <row r="126" spans="1:2" ht="15">
      <c r="A126" s="120" t="s">
        <v>2736</v>
      </c>
      <c r="B126" s="3">
        <v>1</v>
      </c>
    </row>
    <row r="127" spans="1:2" ht="15">
      <c r="A127" s="120" t="s">
        <v>2756</v>
      </c>
      <c r="B127" s="3">
        <v>1</v>
      </c>
    </row>
    <row r="128" spans="1:2" ht="15">
      <c r="A128" s="120" t="s">
        <v>2799</v>
      </c>
      <c r="B128" s="3">
        <v>1</v>
      </c>
    </row>
    <row r="129" spans="1:2" ht="15">
      <c r="A129" s="119" t="s">
        <v>2740</v>
      </c>
      <c r="B129" s="3">
        <v>6</v>
      </c>
    </row>
    <row r="130" spans="1:2" ht="15">
      <c r="A130" s="120" t="s">
        <v>2800</v>
      </c>
      <c r="B130" s="3">
        <v>1</v>
      </c>
    </row>
    <row r="131" spans="1:2" ht="15">
      <c r="A131" s="120" t="s">
        <v>2758</v>
      </c>
      <c r="B131" s="3">
        <v>1</v>
      </c>
    </row>
    <row r="132" spans="1:2" ht="15">
      <c r="A132" s="120" t="s">
        <v>2801</v>
      </c>
      <c r="B132" s="3">
        <v>4</v>
      </c>
    </row>
    <row r="133" spans="1:2" ht="15">
      <c r="A133" s="119" t="s">
        <v>2742</v>
      </c>
      <c r="B133" s="3">
        <v>5</v>
      </c>
    </row>
    <row r="134" spans="1:2" ht="15">
      <c r="A134" s="120" t="s">
        <v>2802</v>
      </c>
      <c r="B134" s="3">
        <v>1</v>
      </c>
    </row>
    <row r="135" spans="1:2" ht="15">
      <c r="A135" s="120" t="s">
        <v>2761</v>
      </c>
      <c r="B135" s="3">
        <v>1</v>
      </c>
    </row>
    <row r="136" spans="1:2" ht="15">
      <c r="A136" s="120" t="s">
        <v>2803</v>
      </c>
      <c r="B136" s="3">
        <v>3</v>
      </c>
    </row>
    <row r="137" spans="1:2" ht="15">
      <c r="A137" s="119" t="s">
        <v>2727</v>
      </c>
      <c r="B137" s="3">
        <v>6</v>
      </c>
    </row>
    <row r="138" spans="1:2" ht="15">
      <c r="A138" s="120" t="s">
        <v>2804</v>
      </c>
      <c r="B138" s="3">
        <v>1</v>
      </c>
    </row>
    <row r="139" spans="1:2" ht="15">
      <c r="A139" s="120" t="s">
        <v>2805</v>
      </c>
      <c r="B139" s="3">
        <v>1</v>
      </c>
    </row>
    <row r="140" spans="1:2" ht="15">
      <c r="A140" s="120" t="s">
        <v>2806</v>
      </c>
      <c r="B140" s="3">
        <v>1</v>
      </c>
    </row>
    <row r="141" spans="1:2" ht="15">
      <c r="A141" s="120" t="s">
        <v>2807</v>
      </c>
      <c r="B141" s="3">
        <v>1</v>
      </c>
    </row>
    <row r="142" spans="1:2" ht="15">
      <c r="A142" s="120" t="s">
        <v>2808</v>
      </c>
      <c r="B142" s="3">
        <v>1</v>
      </c>
    </row>
    <row r="143" spans="1:2" ht="15">
      <c r="A143" s="120" t="s">
        <v>2809</v>
      </c>
      <c r="B143" s="3">
        <v>1</v>
      </c>
    </row>
    <row r="144" spans="1:2" ht="15">
      <c r="A144" s="119" t="s">
        <v>2746</v>
      </c>
      <c r="B144" s="3">
        <v>7</v>
      </c>
    </row>
    <row r="145" spans="1:2" ht="15">
      <c r="A145" s="120" t="s">
        <v>2810</v>
      </c>
      <c r="B145" s="3">
        <v>4</v>
      </c>
    </row>
    <row r="146" spans="1:2" ht="15">
      <c r="A146" s="120" t="s">
        <v>2811</v>
      </c>
      <c r="B146" s="3">
        <v>2</v>
      </c>
    </row>
    <row r="147" spans="1:2" ht="15">
      <c r="A147" s="120" t="s">
        <v>2812</v>
      </c>
      <c r="B147" s="3">
        <v>1</v>
      </c>
    </row>
    <row r="148" spans="1:2" ht="15">
      <c r="A148" s="119" t="s">
        <v>2813</v>
      </c>
      <c r="B148" s="3">
        <v>8</v>
      </c>
    </row>
    <row r="149" spans="1:2" ht="15">
      <c r="A149" s="120" t="s">
        <v>2814</v>
      </c>
      <c r="B149" s="3">
        <v>5</v>
      </c>
    </row>
    <row r="150" spans="1:2" ht="15">
      <c r="A150" s="120" t="s">
        <v>2815</v>
      </c>
      <c r="B150" s="3">
        <v>3</v>
      </c>
    </row>
    <row r="151" spans="1:2" ht="15">
      <c r="A151" s="119" t="s">
        <v>2730</v>
      </c>
      <c r="B151" s="3">
        <v>3</v>
      </c>
    </row>
    <row r="152" spans="1:2" ht="15">
      <c r="A152" s="120" t="s">
        <v>2816</v>
      </c>
      <c r="B152" s="3">
        <v>1</v>
      </c>
    </row>
    <row r="153" spans="1:2" ht="15">
      <c r="A153" s="120" t="s">
        <v>2731</v>
      </c>
      <c r="B153" s="3">
        <v>1</v>
      </c>
    </row>
    <row r="154" spans="1:2" ht="15">
      <c r="A154" s="120" t="s">
        <v>2817</v>
      </c>
      <c r="B154" s="3">
        <v>1</v>
      </c>
    </row>
    <row r="155" spans="1:2" ht="15">
      <c r="A155" s="119" t="s">
        <v>2732</v>
      </c>
      <c r="B155" s="3">
        <v>5</v>
      </c>
    </row>
    <row r="156" spans="1:2" ht="15">
      <c r="A156" s="120" t="s">
        <v>2790</v>
      </c>
      <c r="B156" s="3">
        <v>1</v>
      </c>
    </row>
    <row r="157" spans="1:2" ht="15">
      <c r="A157" s="120" t="s">
        <v>2818</v>
      </c>
      <c r="B157" s="3">
        <v>1</v>
      </c>
    </row>
    <row r="158" spans="1:2" ht="15">
      <c r="A158" s="120" t="s">
        <v>2819</v>
      </c>
      <c r="B158" s="3">
        <v>2</v>
      </c>
    </row>
    <row r="159" spans="1:2" ht="15">
      <c r="A159" s="120" t="s">
        <v>2820</v>
      </c>
      <c r="B159" s="3">
        <v>1</v>
      </c>
    </row>
    <row r="160" spans="1:2" ht="15">
      <c r="A160" s="119" t="s">
        <v>2752</v>
      </c>
      <c r="B160" s="3">
        <v>6</v>
      </c>
    </row>
    <row r="161" spans="1:2" ht="15">
      <c r="A161" s="120" t="s">
        <v>2821</v>
      </c>
      <c r="B161" s="3">
        <v>1</v>
      </c>
    </row>
    <row r="162" spans="1:2" ht="15">
      <c r="A162" s="120" t="s">
        <v>2822</v>
      </c>
      <c r="B162" s="3">
        <v>1</v>
      </c>
    </row>
    <row r="163" spans="1:2" ht="15">
      <c r="A163" s="120" t="s">
        <v>2823</v>
      </c>
      <c r="B163" s="3">
        <v>2</v>
      </c>
    </row>
    <row r="164" spans="1:2" ht="15">
      <c r="A164" s="120" t="s">
        <v>2824</v>
      </c>
      <c r="B164" s="3">
        <v>1</v>
      </c>
    </row>
    <row r="165" spans="1:2" ht="15">
      <c r="A165" s="120" t="s">
        <v>2825</v>
      </c>
      <c r="B165" s="3">
        <v>1</v>
      </c>
    </row>
    <row r="166" spans="1:2" ht="15">
      <c r="A166" s="119" t="s">
        <v>2773</v>
      </c>
      <c r="B166" s="3">
        <v>8</v>
      </c>
    </row>
    <row r="167" spans="1:2" ht="15">
      <c r="A167" s="120" t="s">
        <v>2826</v>
      </c>
      <c r="B167" s="3">
        <v>1</v>
      </c>
    </row>
    <row r="168" spans="1:2" ht="15">
      <c r="A168" s="120" t="s">
        <v>2827</v>
      </c>
      <c r="B168" s="3">
        <v>6</v>
      </c>
    </row>
    <row r="169" spans="1:2" ht="15">
      <c r="A169" s="120" t="s">
        <v>2828</v>
      </c>
      <c r="B169" s="3">
        <v>1</v>
      </c>
    </row>
    <row r="170" spans="1:2" ht="15">
      <c r="A170" s="119" t="s">
        <v>2777</v>
      </c>
      <c r="B170" s="3">
        <v>3</v>
      </c>
    </row>
    <row r="171" spans="1:2" ht="15">
      <c r="A171" s="120" t="s">
        <v>2793</v>
      </c>
      <c r="B171" s="3">
        <v>1</v>
      </c>
    </row>
    <row r="172" spans="1:2" ht="15">
      <c r="A172" s="120" t="s">
        <v>2779</v>
      </c>
      <c r="B172" s="3">
        <v>1</v>
      </c>
    </row>
    <row r="173" spans="1:2" ht="15">
      <c r="A173" s="120" t="s">
        <v>2829</v>
      </c>
      <c r="B173" s="3">
        <v>1</v>
      </c>
    </row>
    <row r="174" spans="1:2" ht="15">
      <c r="A174" s="118" t="s">
        <v>2830</v>
      </c>
      <c r="B174" s="3">
        <v>45</v>
      </c>
    </row>
    <row r="175" spans="1:2" ht="15">
      <c r="A175" s="119" t="s">
        <v>2754</v>
      </c>
      <c r="B175" s="3">
        <v>1</v>
      </c>
    </row>
    <row r="176" spans="1:2" ht="15">
      <c r="A176" s="120" t="s">
        <v>2831</v>
      </c>
      <c r="B176" s="3">
        <v>1</v>
      </c>
    </row>
    <row r="177" spans="1:2" ht="15">
      <c r="A177" s="119" t="s">
        <v>2735</v>
      </c>
      <c r="B177" s="3">
        <v>4</v>
      </c>
    </row>
    <row r="178" spans="1:2" ht="15">
      <c r="A178" s="120" t="s">
        <v>2832</v>
      </c>
      <c r="B178" s="3">
        <v>1</v>
      </c>
    </row>
    <row r="179" spans="1:2" ht="15">
      <c r="A179" s="120" t="s">
        <v>2833</v>
      </c>
      <c r="B179" s="3">
        <v>2</v>
      </c>
    </row>
    <row r="180" spans="1:2" ht="15">
      <c r="A180" s="120" t="s">
        <v>2834</v>
      </c>
      <c r="B180" s="3">
        <v>1</v>
      </c>
    </row>
    <row r="181" spans="1:2" ht="15">
      <c r="A181" s="119" t="s">
        <v>2740</v>
      </c>
      <c r="B181" s="3">
        <v>7</v>
      </c>
    </row>
    <row r="182" spans="1:2" ht="15">
      <c r="A182" s="120" t="s">
        <v>2741</v>
      </c>
      <c r="B182" s="3">
        <v>1</v>
      </c>
    </row>
    <row r="183" spans="1:2" ht="15">
      <c r="A183" s="120" t="s">
        <v>2800</v>
      </c>
      <c r="B183" s="3">
        <v>1</v>
      </c>
    </row>
    <row r="184" spans="1:2" ht="15">
      <c r="A184" s="120" t="s">
        <v>2835</v>
      </c>
      <c r="B184" s="3">
        <v>1</v>
      </c>
    </row>
    <row r="185" spans="1:2" ht="15">
      <c r="A185" s="120" t="s">
        <v>2801</v>
      </c>
      <c r="B185" s="3">
        <v>1</v>
      </c>
    </row>
    <row r="186" spans="1:2" ht="15">
      <c r="A186" s="120" t="s">
        <v>2836</v>
      </c>
      <c r="B186" s="3">
        <v>3</v>
      </c>
    </row>
    <row r="187" spans="1:2" ht="15">
      <c r="A187" s="119" t="s">
        <v>2727</v>
      </c>
      <c r="B187" s="3">
        <v>11</v>
      </c>
    </row>
    <row r="188" spans="1:2" ht="15">
      <c r="A188" s="120" t="s">
        <v>2837</v>
      </c>
      <c r="B188" s="3">
        <v>2</v>
      </c>
    </row>
    <row r="189" spans="1:2" ht="15">
      <c r="A189" s="120" t="s">
        <v>2838</v>
      </c>
      <c r="B189" s="3">
        <v>1</v>
      </c>
    </row>
    <row r="190" spans="1:2" ht="15">
      <c r="A190" s="120" t="s">
        <v>2784</v>
      </c>
      <c r="B190" s="3">
        <v>2</v>
      </c>
    </row>
    <row r="191" spans="1:2" ht="15">
      <c r="A191" s="120" t="s">
        <v>2785</v>
      </c>
      <c r="B191" s="3">
        <v>1</v>
      </c>
    </row>
    <row r="192" spans="1:2" ht="15">
      <c r="A192" s="120" t="s">
        <v>2807</v>
      </c>
      <c r="B192" s="3">
        <v>1</v>
      </c>
    </row>
    <row r="193" spans="1:2" ht="15">
      <c r="A193" s="120" t="s">
        <v>2839</v>
      </c>
      <c r="B193" s="3">
        <v>1</v>
      </c>
    </row>
    <row r="194" spans="1:2" ht="15">
      <c r="A194" s="120" t="s">
        <v>2764</v>
      </c>
      <c r="B194" s="3">
        <v>1</v>
      </c>
    </row>
    <row r="195" spans="1:2" ht="15">
      <c r="A195" s="120" t="s">
        <v>2840</v>
      </c>
      <c r="B195" s="3">
        <v>1</v>
      </c>
    </row>
    <row r="196" spans="1:2" ht="15">
      <c r="A196" s="120" t="s">
        <v>2809</v>
      </c>
      <c r="B196" s="3">
        <v>1</v>
      </c>
    </row>
    <row r="197" spans="1:2" ht="15">
      <c r="A197" s="119" t="s">
        <v>2746</v>
      </c>
      <c r="B197" s="3">
        <v>1</v>
      </c>
    </row>
    <row r="198" spans="1:2" ht="15">
      <c r="A198" s="120" t="s">
        <v>2841</v>
      </c>
      <c r="B198" s="3">
        <v>1</v>
      </c>
    </row>
    <row r="199" spans="1:2" ht="15">
      <c r="A199" s="119" t="s">
        <v>2813</v>
      </c>
      <c r="B199" s="3">
        <v>5</v>
      </c>
    </row>
    <row r="200" spans="1:2" ht="15">
      <c r="A200" s="120" t="s">
        <v>2842</v>
      </c>
      <c r="B200" s="3">
        <v>1</v>
      </c>
    </row>
    <row r="201" spans="1:2" ht="15">
      <c r="A201" s="120" t="s">
        <v>2843</v>
      </c>
      <c r="B201" s="3">
        <v>1</v>
      </c>
    </row>
    <row r="202" spans="1:2" ht="15">
      <c r="A202" s="120" t="s">
        <v>2844</v>
      </c>
      <c r="B202" s="3">
        <v>1</v>
      </c>
    </row>
    <row r="203" spans="1:2" ht="15">
      <c r="A203" s="120" t="s">
        <v>2845</v>
      </c>
      <c r="B203" s="3">
        <v>2</v>
      </c>
    </row>
    <row r="204" spans="1:2" ht="15">
      <c r="A204" s="119" t="s">
        <v>2730</v>
      </c>
      <c r="B204" s="3">
        <v>8</v>
      </c>
    </row>
    <row r="205" spans="1:2" ht="15">
      <c r="A205" s="120" t="s">
        <v>2846</v>
      </c>
      <c r="B205" s="3">
        <v>2</v>
      </c>
    </row>
    <row r="206" spans="1:2" ht="15">
      <c r="A206" s="120" t="s">
        <v>2847</v>
      </c>
      <c r="B206" s="3">
        <v>1</v>
      </c>
    </row>
    <row r="207" spans="1:2" ht="15">
      <c r="A207" s="120" t="s">
        <v>2731</v>
      </c>
      <c r="B207" s="3">
        <v>1</v>
      </c>
    </row>
    <row r="208" spans="1:2" ht="15">
      <c r="A208" s="120" t="s">
        <v>2848</v>
      </c>
      <c r="B208" s="3">
        <v>1</v>
      </c>
    </row>
    <row r="209" spans="1:2" ht="15">
      <c r="A209" s="120" t="s">
        <v>2849</v>
      </c>
      <c r="B209" s="3">
        <v>1</v>
      </c>
    </row>
    <row r="210" spans="1:2" ht="15">
      <c r="A210" s="120" t="s">
        <v>2850</v>
      </c>
      <c r="B210" s="3">
        <v>2</v>
      </c>
    </row>
    <row r="211" spans="1:2" ht="15">
      <c r="A211" s="119" t="s">
        <v>2732</v>
      </c>
      <c r="B211" s="3">
        <v>2</v>
      </c>
    </row>
    <row r="212" spans="1:2" ht="15">
      <c r="A212" s="120" t="s">
        <v>2791</v>
      </c>
      <c r="B212" s="3">
        <v>1</v>
      </c>
    </row>
    <row r="213" spans="1:2" ht="15">
      <c r="A213" s="120" t="s">
        <v>2819</v>
      </c>
      <c r="B213" s="3">
        <v>1</v>
      </c>
    </row>
    <row r="214" spans="1:2" ht="15">
      <c r="A214" s="119" t="s">
        <v>2752</v>
      </c>
      <c r="B214" s="3">
        <v>4</v>
      </c>
    </row>
    <row r="215" spans="1:2" ht="15">
      <c r="A215" s="120" t="s">
        <v>2851</v>
      </c>
      <c r="B215" s="3">
        <v>1</v>
      </c>
    </row>
    <row r="216" spans="1:2" ht="15">
      <c r="A216" s="120" t="s">
        <v>2769</v>
      </c>
      <c r="B216" s="3">
        <v>2</v>
      </c>
    </row>
    <row r="217" spans="1:2" ht="15">
      <c r="A217" s="120" t="s">
        <v>2770</v>
      </c>
      <c r="B217" s="3">
        <v>1</v>
      </c>
    </row>
    <row r="218" spans="1:2" ht="15">
      <c r="A218" s="119" t="s">
        <v>2773</v>
      </c>
      <c r="B218" s="3">
        <v>1</v>
      </c>
    </row>
    <row r="219" spans="1:2" ht="15">
      <c r="A219" s="120" t="s">
        <v>2776</v>
      </c>
      <c r="B219" s="3">
        <v>1</v>
      </c>
    </row>
    <row r="220" spans="1:2" ht="15">
      <c r="A220" s="119" t="s">
        <v>2777</v>
      </c>
      <c r="B220" s="3">
        <v>1</v>
      </c>
    </row>
    <row r="221" spans="1:2" ht="15">
      <c r="A221" s="120" t="s">
        <v>2852</v>
      </c>
      <c r="B221" s="3">
        <v>1</v>
      </c>
    </row>
    <row r="222" spans="1:2" ht="15">
      <c r="A222" s="118" t="s">
        <v>2853</v>
      </c>
      <c r="B222" s="3">
        <v>36</v>
      </c>
    </row>
    <row r="223" spans="1:2" ht="15">
      <c r="A223" s="119" t="s">
        <v>2754</v>
      </c>
      <c r="B223" s="3">
        <v>5</v>
      </c>
    </row>
    <row r="224" spans="1:2" ht="15">
      <c r="A224" s="120" t="s">
        <v>2854</v>
      </c>
      <c r="B224" s="3">
        <v>2</v>
      </c>
    </row>
    <row r="225" spans="1:2" ht="15">
      <c r="A225" s="120" t="s">
        <v>2855</v>
      </c>
      <c r="B225" s="3">
        <v>1</v>
      </c>
    </row>
    <row r="226" spans="1:2" ht="15">
      <c r="A226" s="120" t="s">
        <v>2755</v>
      </c>
      <c r="B226" s="3">
        <v>1</v>
      </c>
    </row>
    <row r="227" spans="1:2" ht="15">
      <c r="A227" s="120" t="s">
        <v>2856</v>
      </c>
      <c r="B227" s="3">
        <v>1</v>
      </c>
    </row>
    <row r="228" spans="1:2" ht="15">
      <c r="A228" s="119" t="s">
        <v>2735</v>
      </c>
      <c r="B228" s="3">
        <v>9</v>
      </c>
    </row>
    <row r="229" spans="1:2" ht="15">
      <c r="A229" s="120" t="s">
        <v>2857</v>
      </c>
      <c r="B229" s="3">
        <v>1</v>
      </c>
    </row>
    <row r="230" spans="1:2" ht="15">
      <c r="A230" s="120" t="s">
        <v>2832</v>
      </c>
      <c r="B230" s="3">
        <v>6</v>
      </c>
    </row>
    <row r="231" spans="1:2" ht="15">
      <c r="A231" s="120" t="s">
        <v>2757</v>
      </c>
      <c r="B231" s="3">
        <v>2</v>
      </c>
    </row>
    <row r="232" spans="1:2" ht="15">
      <c r="A232" s="119" t="s">
        <v>2740</v>
      </c>
      <c r="B232" s="3">
        <v>1</v>
      </c>
    </row>
    <row r="233" spans="1:2" ht="15">
      <c r="A233" s="120" t="s">
        <v>2858</v>
      </c>
      <c r="B233" s="3">
        <v>1</v>
      </c>
    </row>
    <row r="234" spans="1:2" ht="15">
      <c r="A234" s="119" t="s">
        <v>2742</v>
      </c>
      <c r="B234" s="3">
        <v>4</v>
      </c>
    </row>
    <row r="235" spans="1:2" ht="15">
      <c r="A235" s="120" t="s">
        <v>2859</v>
      </c>
      <c r="B235" s="3">
        <v>4</v>
      </c>
    </row>
    <row r="236" spans="1:2" ht="15">
      <c r="A236" s="119" t="s">
        <v>2727</v>
      </c>
      <c r="B236" s="3">
        <v>1</v>
      </c>
    </row>
    <row r="237" spans="1:2" ht="15">
      <c r="A237" s="120" t="s">
        <v>2860</v>
      </c>
      <c r="B237" s="3">
        <v>1</v>
      </c>
    </row>
    <row r="238" spans="1:2" ht="15">
      <c r="A238" s="119" t="s">
        <v>2746</v>
      </c>
      <c r="B238" s="3">
        <v>4</v>
      </c>
    </row>
    <row r="239" spans="1:2" ht="15">
      <c r="A239" s="120" t="s">
        <v>2747</v>
      </c>
      <c r="B239" s="3">
        <v>1</v>
      </c>
    </row>
    <row r="240" spans="1:2" ht="15">
      <c r="A240" s="120" t="s">
        <v>2861</v>
      </c>
      <c r="B240" s="3">
        <v>1</v>
      </c>
    </row>
    <row r="241" spans="1:2" ht="15">
      <c r="A241" s="120" t="s">
        <v>2812</v>
      </c>
      <c r="B241" s="3">
        <v>1</v>
      </c>
    </row>
    <row r="242" spans="1:2" ht="15">
      <c r="A242" s="120" t="s">
        <v>2862</v>
      </c>
      <c r="B242" s="3">
        <v>1</v>
      </c>
    </row>
    <row r="243" spans="1:2" ht="15">
      <c r="A243" s="119" t="s">
        <v>2813</v>
      </c>
      <c r="B243" s="3">
        <v>4</v>
      </c>
    </row>
    <row r="244" spans="1:2" ht="15">
      <c r="A244" s="120" t="s">
        <v>2863</v>
      </c>
      <c r="B244" s="3">
        <v>1</v>
      </c>
    </row>
    <row r="245" spans="1:2" ht="15">
      <c r="A245" s="120" t="s">
        <v>2844</v>
      </c>
      <c r="B245" s="3">
        <v>1</v>
      </c>
    </row>
    <row r="246" spans="1:2" ht="15">
      <c r="A246" s="120" t="s">
        <v>2864</v>
      </c>
      <c r="B246" s="3">
        <v>1</v>
      </c>
    </row>
    <row r="247" spans="1:2" ht="15">
      <c r="A247" s="120" t="s">
        <v>2865</v>
      </c>
      <c r="B247" s="3">
        <v>1</v>
      </c>
    </row>
    <row r="248" spans="1:2" ht="15">
      <c r="A248" s="119" t="s">
        <v>2732</v>
      </c>
      <c r="B248" s="3">
        <v>4</v>
      </c>
    </row>
    <row r="249" spans="1:2" ht="15">
      <c r="A249" s="120" t="s">
        <v>2866</v>
      </c>
      <c r="B249" s="3">
        <v>1</v>
      </c>
    </row>
    <row r="250" spans="1:2" ht="15">
      <c r="A250" s="120" t="s">
        <v>2791</v>
      </c>
      <c r="B250" s="3">
        <v>1</v>
      </c>
    </row>
    <row r="251" spans="1:2" ht="15">
      <c r="A251" s="120" t="s">
        <v>2867</v>
      </c>
      <c r="B251" s="3">
        <v>1</v>
      </c>
    </row>
    <row r="252" spans="1:2" ht="15">
      <c r="A252" s="120" t="s">
        <v>2868</v>
      </c>
      <c r="B252" s="3">
        <v>1</v>
      </c>
    </row>
    <row r="253" spans="1:2" ht="15">
      <c r="A253" s="119" t="s">
        <v>2752</v>
      </c>
      <c r="B253" s="3">
        <v>1</v>
      </c>
    </row>
    <row r="254" spans="1:2" ht="15">
      <c r="A254" s="120" t="s">
        <v>2792</v>
      </c>
      <c r="B254" s="3">
        <v>1</v>
      </c>
    </row>
    <row r="255" spans="1:2" ht="15">
      <c r="A255" s="119" t="s">
        <v>2773</v>
      </c>
      <c r="B255" s="3">
        <v>2</v>
      </c>
    </row>
    <row r="256" spans="1:2" ht="15">
      <c r="A256" s="120" t="s">
        <v>2869</v>
      </c>
      <c r="B256" s="3">
        <v>1</v>
      </c>
    </row>
    <row r="257" spans="1:2" ht="15">
      <c r="A257" s="120" t="s">
        <v>2776</v>
      </c>
      <c r="B257" s="3">
        <v>1</v>
      </c>
    </row>
    <row r="258" spans="1:2" ht="15">
      <c r="A258" s="119" t="s">
        <v>2777</v>
      </c>
      <c r="B258" s="3">
        <v>1</v>
      </c>
    </row>
    <row r="259" spans="1:2" ht="15">
      <c r="A259" s="120" t="s">
        <v>2870</v>
      </c>
      <c r="B259" s="3">
        <v>1</v>
      </c>
    </row>
    <row r="260" spans="1:2" ht="15">
      <c r="A260" s="118" t="s">
        <v>2871</v>
      </c>
      <c r="B260" s="3">
        <v>26</v>
      </c>
    </row>
    <row r="261" spans="1:2" ht="15">
      <c r="A261" s="119" t="s">
        <v>2754</v>
      </c>
      <c r="B261" s="3">
        <v>1</v>
      </c>
    </row>
    <row r="262" spans="1:2" ht="15">
      <c r="A262" s="120" t="s">
        <v>2872</v>
      </c>
      <c r="B262" s="3">
        <v>1</v>
      </c>
    </row>
    <row r="263" spans="1:2" ht="15">
      <c r="A263" s="119" t="s">
        <v>2735</v>
      </c>
      <c r="B263" s="3">
        <v>6</v>
      </c>
    </row>
    <row r="264" spans="1:2" ht="15">
      <c r="A264" s="120" t="s">
        <v>2873</v>
      </c>
      <c r="B264" s="3">
        <v>1</v>
      </c>
    </row>
    <row r="265" spans="1:2" ht="15">
      <c r="A265" s="120" t="s">
        <v>2874</v>
      </c>
      <c r="B265" s="3">
        <v>2</v>
      </c>
    </row>
    <row r="266" spans="1:2" ht="15">
      <c r="A266" s="120" t="s">
        <v>2875</v>
      </c>
      <c r="B266" s="3">
        <v>1</v>
      </c>
    </row>
    <row r="267" spans="1:2" ht="15">
      <c r="A267" s="120" t="s">
        <v>2757</v>
      </c>
      <c r="B267" s="3">
        <v>1</v>
      </c>
    </row>
    <row r="268" spans="1:2" ht="15">
      <c r="A268" s="120" t="s">
        <v>2876</v>
      </c>
      <c r="B268" s="3">
        <v>1</v>
      </c>
    </row>
    <row r="269" spans="1:2" ht="15">
      <c r="A269" s="119" t="s">
        <v>2740</v>
      </c>
      <c r="B269" s="3">
        <v>6</v>
      </c>
    </row>
    <row r="270" spans="1:2" ht="15">
      <c r="A270" s="120" t="s">
        <v>2877</v>
      </c>
      <c r="B270" s="3">
        <v>1</v>
      </c>
    </row>
    <row r="271" spans="1:2" ht="15">
      <c r="A271" s="120" t="s">
        <v>2836</v>
      </c>
      <c r="B271" s="3">
        <v>2</v>
      </c>
    </row>
    <row r="272" spans="1:2" ht="15">
      <c r="A272" s="120" t="s">
        <v>2878</v>
      </c>
      <c r="B272" s="3">
        <v>1</v>
      </c>
    </row>
    <row r="273" spans="1:2" ht="15">
      <c r="A273" s="120" t="s">
        <v>2879</v>
      </c>
      <c r="B273" s="3">
        <v>1</v>
      </c>
    </row>
    <row r="274" spans="1:2" ht="15">
      <c r="A274" s="120" t="s">
        <v>2760</v>
      </c>
      <c r="B274" s="3">
        <v>1</v>
      </c>
    </row>
    <row r="275" spans="1:2" ht="15">
      <c r="A275" s="119" t="s">
        <v>2742</v>
      </c>
      <c r="B275" s="3">
        <v>2</v>
      </c>
    </row>
    <row r="276" spans="1:2" ht="15">
      <c r="A276" s="120" t="s">
        <v>2880</v>
      </c>
      <c r="B276" s="3">
        <v>1</v>
      </c>
    </row>
    <row r="277" spans="1:2" ht="15">
      <c r="A277" s="120" t="s">
        <v>2881</v>
      </c>
      <c r="B277" s="3">
        <v>1</v>
      </c>
    </row>
    <row r="278" spans="1:2" ht="15">
      <c r="A278" s="119" t="s">
        <v>2727</v>
      </c>
      <c r="B278" s="3">
        <v>1</v>
      </c>
    </row>
    <row r="279" spans="1:2" ht="15">
      <c r="A279" s="120" t="s">
        <v>2882</v>
      </c>
      <c r="B279" s="3">
        <v>1</v>
      </c>
    </row>
    <row r="280" spans="1:2" ht="15">
      <c r="A280" s="119" t="s">
        <v>2746</v>
      </c>
      <c r="B280" s="3">
        <v>2</v>
      </c>
    </row>
    <row r="281" spans="1:2" ht="15">
      <c r="A281" s="120" t="s">
        <v>2841</v>
      </c>
      <c r="B281" s="3">
        <v>2</v>
      </c>
    </row>
    <row r="282" spans="1:2" ht="15">
      <c r="A282" s="119" t="s">
        <v>2813</v>
      </c>
      <c r="B282" s="3">
        <v>2</v>
      </c>
    </row>
    <row r="283" spans="1:2" ht="15">
      <c r="A283" s="120" t="s">
        <v>2883</v>
      </c>
      <c r="B283" s="3">
        <v>1</v>
      </c>
    </row>
    <row r="284" spans="1:2" ht="15">
      <c r="A284" s="120" t="s">
        <v>2884</v>
      </c>
      <c r="B284" s="3">
        <v>1</v>
      </c>
    </row>
    <row r="285" spans="1:2" ht="15">
      <c r="A285" s="119" t="s">
        <v>2730</v>
      </c>
      <c r="B285" s="3">
        <v>1</v>
      </c>
    </row>
    <row r="286" spans="1:2" ht="15">
      <c r="A286" s="120" t="s">
        <v>2885</v>
      </c>
      <c r="B286" s="3">
        <v>1</v>
      </c>
    </row>
    <row r="287" spans="1:2" ht="15">
      <c r="A287" s="119" t="s">
        <v>2752</v>
      </c>
      <c r="B287" s="3">
        <v>1</v>
      </c>
    </row>
    <row r="288" spans="1:2" ht="15">
      <c r="A288" s="120" t="s">
        <v>2753</v>
      </c>
      <c r="B288" s="3">
        <v>1</v>
      </c>
    </row>
    <row r="289" spans="1:2" ht="15">
      <c r="A289" s="119" t="s">
        <v>2773</v>
      </c>
      <c r="B289" s="3">
        <v>1</v>
      </c>
    </row>
    <row r="290" spans="1:2" ht="15">
      <c r="A290" s="120" t="s">
        <v>2886</v>
      </c>
      <c r="B290" s="3">
        <v>1</v>
      </c>
    </row>
    <row r="291" spans="1:2" ht="15">
      <c r="A291" s="119" t="s">
        <v>2777</v>
      </c>
      <c r="B291" s="3">
        <v>3</v>
      </c>
    </row>
    <row r="292" spans="1:2" ht="15">
      <c r="A292" s="120" t="s">
        <v>2793</v>
      </c>
      <c r="B292" s="3">
        <v>3</v>
      </c>
    </row>
    <row r="293" spans="1:2" ht="15">
      <c r="A293" s="118" t="s">
        <v>1894</v>
      </c>
      <c r="B293" s="3">
        <v>35</v>
      </c>
    </row>
    <row r="294" spans="1:2" ht="15">
      <c r="A294" s="119" t="s">
        <v>2754</v>
      </c>
      <c r="B294" s="3">
        <v>9</v>
      </c>
    </row>
    <row r="295" spans="1:2" ht="15">
      <c r="A295" s="120" t="s">
        <v>2887</v>
      </c>
      <c r="B295" s="3">
        <v>1</v>
      </c>
    </row>
    <row r="296" spans="1:2" ht="15">
      <c r="A296" s="120" t="s">
        <v>2888</v>
      </c>
      <c r="B296" s="3">
        <v>1</v>
      </c>
    </row>
    <row r="297" spans="1:2" ht="15">
      <c r="A297" s="120" t="s">
        <v>2889</v>
      </c>
      <c r="B297" s="3">
        <v>1</v>
      </c>
    </row>
    <row r="298" spans="1:2" ht="15">
      <c r="A298" s="120" t="s">
        <v>2890</v>
      </c>
      <c r="B298" s="3">
        <v>1</v>
      </c>
    </row>
    <row r="299" spans="1:2" ht="15">
      <c r="A299" s="120" t="s">
        <v>2831</v>
      </c>
      <c r="B299" s="3">
        <v>1</v>
      </c>
    </row>
    <row r="300" spans="1:2" ht="15">
      <c r="A300" s="120" t="s">
        <v>2755</v>
      </c>
      <c r="B300" s="3">
        <v>1</v>
      </c>
    </row>
    <row r="301" spans="1:2" ht="15">
      <c r="A301" s="120" t="s">
        <v>2891</v>
      </c>
      <c r="B301" s="3">
        <v>1</v>
      </c>
    </row>
    <row r="302" spans="1:2" ht="15">
      <c r="A302" s="120" t="s">
        <v>2892</v>
      </c>
      <c r="B302" s="3">
        <v>2</v>
      </c>
    </row>
    <row r="303" spans="1:2" ht="15">
      <c r="A303" s="119" t="s">
        <v>2735</v>
      </c>
      <c r="B303" s="3">
        <v>1</v>
      </c>
    </row>
    <row r="304" spans="1:2" ht="15">
      <c r="A304" s="120" t="s">
        <v>2873</v>
      </c>
      <c r="B304" s="3">
        <v>1</v>
      </c>
    </row>
    <row r="305" spans="1:2" ht="15">
      <c r="A305" s="119" t="s">
        <v>2740</v>
      </c>
      <c r="B305" s="3">
        <v>6</v>
      </c>
    </row>
    <row r="306" spans="1:2" ht="15">
      <c r="A306" s="120" t="s">
        <v>2893</v>
      </c>
      <c r="B306" s="3">
        <v>2</v>
      </c>
    </row>
    <row r="307" spans="1:2" ht="15">
      <c r="A307" s="120" t="s">
        <v>2835</v>
      </c>
      <c r="B307" s="3">
        <v>3</v>
      </c>
    </row>
    <row r="308" spans="1:2" ht="15">
      <c r="A308" s="120" t="s">
        <v>2894</v>
      </c>
      <c r="B308" s="3">
        <v>1</v>
      </c>
    </row>
    <row r="309" spans="1:2" ht="15">
      <c r="A309" s="119" t="s">
        <v>2742</v>
      </c>
      <c r="B309" s="3">
        <v>4</v>
      </c>
    </row>
    <row r="310" spans="1:2" ht="15">
      <c r="A310" s="120" t="s">
        <v>2895</v>
      </c>
      <c r="B310" s="3">
        <v>1</v>
      </c>
    </row>
    <row r="311" spans="1:2" ht="15">
      <c r="A311" s="120" t="s">
        <v>2896</v>
      </c>
      <c r="B311" s="3">
        <v>1</v>
      </c>
    </row>
    <row r="312" spans="1:2" ht="15">
      <c r="A312" s="120" t="s">
        <v>2897</v>
      </c>
      <c r="B312" s="3">
        <v>2</v>
      </c>
    </row>
    <row r="313" spans="1:2" ht="15">
      <c r="A313" s="119" t="s">
        <v>2727</v>
      </c>
      <c r="B313" s="3">
        <v>3</v>
      </c>
    </row>
    <row r="314" spans="1:2" ht="15">
      <c r="A314" s="120" t="s">
        <v>2806</v>
      </c>
      <c r="B314" s="3">
        <v>1</v>
      </c>
    </row>
    <row r="315" spans="1:2" ht="15">
      <c r="A315" s="120" t="s">
        <v>2898</v>
      </c>
      <c r="B315" s="3">
        <v>1</v>
      </c>
    </row>
    <row r="316" spans="1:2" ht="15">
      <c r="A316" s="120" t="s">
        <v>2765</v>
      </c>
      <c r="B316" s="3">
        <v>1</v>
      </c>
    </row>
    <row r="317" spans="1:2" ht="15">
      <c r="A317" s="119" t="s">
        <v>2813</v>
      </c>
      <c r="B317" s="3">
        <v>4</v>
      </c>
    </row>
    <row r="318" spans="1:2" ht="15">
      <c r="A318" s="120" t="s">
        <v>2899</v>
      </c>
      <c r="B318" s="3">
        <v>3</v>
      </c>
    </row>
    <row r="319" spans="1:2" ht="15">
      <c r="A319" s="120" t="s">
        <v>2900</v>
      </c>
      <c r="B319" s="3">
        <v>1</v>
      </c>
    </row>
    <row r="320" spans="1:2" ht="15">
      <c r="A320" s="119" t="s">
        <v>2730</v>
      </c>
      <c r="B320" s="3">
        <v>3</v>
      </c>
    </row>
    <row r="321" spans="1:2" ht="15">
      <c r="A321" s="120" t="s">
        <v>2816</v>
      </c>
      <c r="B321" s="3">
        <v>1</v>
      </c>
    </row>
    <row r="322" spans="1:2" ht="15">
      <c r="A322" s="120" t="s">
        <v>2901</v>
      </c>
      <c r="B322" s="3">
        <v>1</v>
      </c>
    </row>
    <row r="323" spans="1:2" ht="15">
      <c r="A323" s="120" t="s">
        <v>2902</v>
      </c>
      <c r="B323" s="3">
        <v>1</v>
      </c>
    </row>
    <row r="324" spans="1:2" ht="15">
      <c r="A324" s="119" t="s">
        <v>2752</v>
      </c>
      <c r="B324" s="3">
        <v>4</v>
      </c>
    </row>
    <row r="325" spans="1:2" ht="15">
      <c r="A325" s="120" t="s">
        <v>2903</v>
      </c>
      <c r="B325" s="3">
        <v>1</v>
      </c>
    </row>
    <row r="326" spans="1:2" ht="15">
      <c r="A326" s="120" t="s">
        <v>2904</v>
      </c>
      <c r="B326" s="3">
        <v>1</v>
      </c>
    </row>
    <row r="327" spans="1:2" ht="15">
      <c r="A327" s="120" t="s">
        <v>2905</v>
      </c>
      <c r="B327" s="3">
        <v>1</v>
      </c>
    </row>
    <row r="328" spans="1:2" ht="15">
      <c r="A328" s="120" t="s">
        <v>2771</v>
      </c>
      <c r="B328" s="3">
        <v>1</v>
      </c>
    </row>
    <row r="329" spans="1:2" ht="15">
      <c r="A329" s="119" t="s">
        <v>2773</v>
      </c>
      <c r="B329" s="3">
        <v>1</v>
      </c>
    </row>
    <row r="330" spans="1:2" ht="15">
      <c r="A330" s="120" t="s">
        <v>2906</v>
      </c>
      <c r="B330" s="3">
        <v>1</v>
      </c>
    </row>
    <row r="331" spans="1:2" ht="15">
      <c r="A331" s="118" t="s">
        <v>1582</v>
      </c>
      <c r="B331" s="3">
        <v>42</v>
      </c>
    </row>
    <row r="332" spans="1:2" ht="15">
      <c r="A332" s="119" t="s">
        <v>2754</v>
      </c>
      <c r="B332" s="3">
        <v>1</v>
      </c>
    </row>
    <row r="333" spans="1:2" ht="15">
      <c r="A333" s="120" t="s">
        <v>2907</v>
      </c>
      <c r="B333" s="3">
        <v>1</v>
      </c>
    </row>
    <row r="334" spans="1:2" ht="15">
      <c r="A334" s="119" t="s">
        <v>2735</v>
      </c>
      <c r="B334" s="3">
        <v>1</v>
      </c>
    </row>
    <row r="335" spans="1:2" ht="15">
      <c r="A335" s="120" t="s">
        <v>2908</v>
      </c>
      <c r="B335" s="3">
        <v>1</v>
      </c>
    </row>
    <row r="336" spans="1:2" ht="15">
      <c r="A336" s="119" t="s">
        <v>2740</v>
      </c>
      <c r="B336" s="3">
        <v>5</v>
      </c>
    </row>
    <row r="337" spans="1:2" ht="15">
      <c r="A337" s="120" t="s">
        <v>2909</v>
      </c>
      <c r="B337" s="3">
        <v>1</v>
      </c>
    </row>
    <row r="338" spans="1:2" ht="15">
      <c r="A338" s="120" t="s">
        <v>2910</v>
      </c>
      <c r="B338" s="3">
        <v>1</v>
      </c>
    </row>
    <row r="339" spans="1:2" ht="15">
      <c r="A339" s="120" t="s">
        <v>2835</v>
      </c>
      <c r="B339" s="3">
        <v>1</v>
      </c>
    </row>
    <row r="340" spans="1:2" ht="15">
      <c r="A340" s="120" t="s">
        <v>2911</v>
      </c>
      <c r="B340" s="3">
        <v>2</v>
      </c>
    </row>
    <row r="341" spans="1:2" ht="15">
      <c r="A341" s="119" t="s">
        <v>2742</v>
      </c>
      <c r="B341" s="3">
        <v>13</v>
      </c>
    </row>
    <row r="342" spans="1:2" ht="15">
      <c r="A342" s="120" t="s">
        <v>2802</v>
      </c>
      <c r="B342" s="3">
        <v>8</v>
      </c>
    </row>
    <row r="343" spans="1:2" ht="15">
      <c r="A343" s="120" t="s">
        <v>2912</v>
      </c>
      <c r="B343" s="3">
        <v>3</v>
      </c>
    </row>
    <row r="344" spans="1:2" ht="15">
      <c r="A344" s="120" t="s">
        <v>2913</v>
      </c>
      <c r="B344" s="3">
        <v>1</v>
      </c>
    </row>
    <row r="345" spans="1:2" ht="15">
      <c r="A345" s="120" t="s">
        <v>2859</v>
      </c>
      <c r="B345" s="3">
        <v>1</v>
      </c>
    </row>
    <row r="346" spans="1:2" ht="15">
      <c r="A346" s="119" t="s">
        <v>2727</v>
      </c>
      <c r="B346" s="3">
        <v>6</v>
      </c>
    </row>
    <row r="347" spans="1:2" ht="15">
      <c r="A347" s="120" t="s">
        <v>2914</v>
      </c>
      <c r="B347" s="3">
        <v>3</v>
      </c>
    </row>
    <row r="348" spans="1:2" ht="15">
      <c r="A348" s="120" t="s">
        <v>2915</v>
      </c>
      <c r="B348" s="3">
        <v>2</v>
      </c>
    </row>
    <row r="349" spans="1:2" ht="15">
      <c r="A349" s="120" t="s">
        <v>2916</v>
      </c>
      <c r="B349" s="3">
        <v>1</v>
      </c>
    </row>
    <row r="350" spans="1:2" ht="15">
      <c r="A350" s="119" t="s">
        <v>2746</v>
      </c>
      <c r="B350" s="3">
        <v>1</v>
      </c>
    </row>
    <row r="351" spans="1:2" ht="15">
      <c r="A351" s="120" t="s">
        <v>2917</v>
      </c>
      <c r="B351" s="3">
        <v>1</v>
      </c>
    </row>
    <row r="352" spans="1:2" ht="15">
      <c r="A352" s="119" t="s">
        <v>2813</v>
      </c>
      <c r="B352" s="3">
        <v>4</v>
      </c>
    </row>
    <row r="353" spans="1:2" ht="15">
      <c r="A353" s="120" t="s">
        <v>2883</v>
      </c>
      <c r="B353" s="3">
        <v>1</v>
      </c>
    </row>
    <row r="354" spans="1:2" ht="15">
      <c r="A354" s="120" t="s">
        <v>2918</v>
      </c>
      <c r="B354" s="3">
        <v>1</v>
      </c>
    </row>
    <row r="355" spans="1:2" ht="15">
      <c r="A355" s="120" t="s">
        <v>2919</v>
      </c>
      <c r="B355" s="3">
        <v>1</v>
      </c>
    </row>
    <row r="356" spans="1:2" ht="15">
      <c r="A356" s="120" t="s">
        <v>2815</v>
      </c>
      <c r="B356" s="3">
        <v>1</v>
      </c>
    </row>
    <row r="357" spans="1:2" ht="15">
      <c r="A357" s="119" t="s">
        <v>2752</v>
      </c>
      <c r="B357" s="3">
        <v>1</v>
      </c>
    </row>
    <row r="358" spans="1:2" ht="15">
      <c r="A358" s="120" t="s">
        <v>2768</v>
      </c>
      <c r="B358" s="3">
        <v>1</v>
      </c>
    </row>
    <row r="359" spans="1:2" ht="15">
      <c r="A359" s="119" t="s">
        <v>2773</v>
      </c>
      <c r="B359" s="3">
        <v>8</v>
      </c>
    </row>
    <row r="360" spans="1:2" ht="15">
      <c r="A360" s="120" t="s">
        <v>2920</v>
      </c>
      <c r="B360" s="3">
        <v>2</v>
      </c>
    </row>
    <row r="361" spans="1:2" ht="15">
      <c r="A361" s="120" t="s">
        <v>2828</v>
      </c>
      <c r="B361" s="3">
        <v>1</v>
      </c>
    </row>
    <row r="362" spans="1:2" ht="15">
      <c r="A362" s="120" t="s">
        <v>2921</v>
      </c>
      <c r="B362" s="3">
        <v>2</v>
      </c>
    </row>
    <row r="363" spans="1:2" ht="15">
      <c r="A363" s="120" t="s">
        <v>2922</v>
      </c>
      <c r="B363" s="3">
        <v>3</v>
      </c>
    </row>
    <row r="364" spans="1:2" ht="15">
      <c r="A364" s="119" t="s">
        <v>2777</v>
      </c>
      <c r="B364" s="3">
        <v>2</v>
      </c>
    </row>
    <row r="365" spans="1:2" ht="15">
      <c r="A365" s="120" t="s">
        <v>2793</v>
      </c>
      <c r="B365" s="3">
        <v>1</v>
      </c>
    </row>
    <row r="366" spans="1:2" ht="15">
      <c r="A366" s="120" t="s">
        <v>2923</v>
      </c>
      <c r="B366" s="3">
        <v>1</v>
      </c>
    </row>
    <row r="367" spans="1:2" ht="15">
      <c r="A367" s="118" t="s">
        <v>2924</v>
      </c>
      <c r="B367" s="3">
        <v>39</v>
      </c>
    </row>
    <row r="368" spans="1:2" ht="15">
      <c r="A368" s="119" t="s">
        <v>2754</v>
      </c>
      <c r="B368" s="3">
        <v>5</v>
      </c>
    </row>
    <row r="369" spans="1:2" ht="15">
      <c r="A369" s="120" t="s">
        <v>2797</v>
      </c>
      <c r="B369" s="3">
        <v>2</v>
      </c>
    </row>
    <row r="370" spans="1:2" ht="15">
      <c r="A370" s="120" t="s">
        <v>2925</v>
      </c>
      <c r="B370" s="3">
        <v>1</v>
      </c>
    </row>
    <row r="371" spans="1:2" ht="15">
      <c r="A371" s="120" t="s">
        <v>2926</v>
      </c>
      <c r="B371" s="3">
        <v>1</v>
      </c>
    </row>
    <row r="372" spans="1:2" ht="15">
      <c r="A372" s="120" t="s">
        <v>2927</v>
      </c>
      <c r="B372" s="3">
        <v>1</v>
      </c>
    </row>
    <row r="373" spans="1:2" ht="15">
      <c r="A373" s="119" t="s">
        <v>2735</v>
      </c>
      <c r="B373" s="3">
        <v>4</v>
      </c>
    </row>
    <row r="374" spans="1:2" ht="15">
      <c r="A374" s="120" t="s">
        <v>2736</v>
      </c>
      <c r="B374" s="3">
        <v>2</v>
      </c>
    </row>
    <row r="375" spans="1:2" ht="15">
      <c r="A375" s="120" t="s">
        <v>2874</v>
      </c>
      <c r="B375" s="3">
        <v>1</v>
      </c>
    </row>
    <row r="376" spans="1:2" ht="15">
      <c r="A376" s="120" t="s">
        <v>2928</v>
      </c>
      <c r="B376" s="3">
        <v>1</v>
      </c>
    </row>
    <row r="377" spans="1:2" ht="15">
      <c r="A377" s="119" t="s">
        <v>2740</v>
      </c>
      <c r="B377" s="3">
        <v>2</v>
      </c>
    </row>
    <row r="378" spans="1:2" ht="15">
      <c r="A378" s="120" t="s">
        <v>2929</v>
      </c>
      <c r="B378" s="3">
        <v>1</v>
      </c>
    </row>
    <row r="379" spans="1:2" ht="15">
      <c r="A379" s="120" t="s">
        <v>2910</v>
      </c>
      <c r="B379" s="3">
        <v>1</v>
      </c>
    </row>
    <row r="380" spans="1:2" ht="15">
      <c r="A380" s="119" t="s">
        <v>2742</v>
      </c>
      <c r="B380" s="3">
        <v>2</v>
      </c>
    </row>
    <row r="381" spans="1:2" ht="15">
      <c r="A381" s="120" t="s">
        <v>2896</v>
      </c>
      <c r="B381" s="3">
        <v>1</v>
      </c>
    </row>
    <row r="382" spans="1:2" ht="15">
      <c r="A382" s="120" t="s">
        <v>2763</v>
      </c>
      <c r="B382" s="3">
        <v>1</v>
      </c>
    </row>
    <row r="383" spans="1:2" ht="15">
      <c r="A383" s="119" t="s">
        <v>2727</v>
      </c>
      <c r="B383" s="3">
        <v>9</v>
      </c>
    </row>
    <row r="384" spans="1:2" ht="15">
      <c r="A384" s="120" t="s">
        <v>2838</v>
      </c>
      <c r="B384" s="3">
        <v>1</v>
      </c>
    </row>
    <row r="385" spans="1:2" ht="15">
      <c r="A385" s="120" t="s">
        <v>2882</v>
      </c>
      <c r="B385" s="3">
        <v>2</v>
      </c>
    </row>
    <row r="386" spans="1:2" ht="15">
      <c r="A386" s="120" t="s">
        <v>2805</v>
      </c>
      <c r="B386" s="3">
        <v>2</v>
      </c>
    </row>
    <row r="387" spans="1:2" ht="15">
      <c r="A387" s="120" t="s">
        <v>2839</v>
      </c>
      <c r="B387" s="3">
        <v>1</v>
      </c>
    </row>
    <row r="388" spans="1:2" ht="15">
      <c r="A388" s="120" t="s">
        <v>2930</v>
      </c>
      <c r="B388" s="3">
        <v>2</v>
      </c>
    </row>
    <row r="389" spans="1:2" ht="15">
      <c r="A389" s="120" t="s">
        <v>2809</v>
      </c>
      <c r="B389" s="3">
        <v>1</v>
      </c>
    </row>
    <row r="390" spans="1:2" ht="15">
      <c r="A390" s="119" t="s">
        <v>2813</v>
      </c>
      <c r="B390" s="3">
        <v>3</v>
      </c>
    </row>
    <row r="391" spans="1:2" ht="15">
      <c r="A391" s="120" t="s">
        <v>2931</v>
      </c>
      <c r="B391" s="3">
        <v>3</v>
      </c>
    </row>
    <row r="392" spans="1:2" ht="15">
      <c r="A392" s="119" t="s">
        <v>2730</v>
      </c>
      <c r="B392" s="3">
        <v>1</v>
      </c>
    </row>
    <row r="393" spans="1:2" ht="15">
      <c r="A393" s="120" t="s">
        <v>2932</v>
      </c>
      <c r="B393" s="3">
        <v>1</v>
      </c>
    </row>
    <row r="394" spans="1:2" ht="15">
      <c r="A394" s="119" t="s">
        <v>2732</v>
      </c>
      <c r="B394" s="3">
        <v>1</v>
      </c>
    </row>
    <row r="395" spans="1:2" ht="15">
      <c r="A395" s="120" t="s">
        <v>2868</v>
      </c>
      <c r="B395" s="3">
        <v>1</v>
      </c>
    </row>
    <row r="396" spans="1:2" ht="15">
      <c r="A396" s="119" t="s">
        <v>2752</v>
      </c>
      <c r="B396" s="3">
        <v>6</v>
      </c>
    </row>
    <row r="397" spans="1:2" ht="15">
      <c r="A397" s="120" t="s">
        <v>2821</v>
      </c>
      <c r="B397" s="3">
        <v>2</v>
      </c>
    </row>
    <row r="398" spans="1:2" ht="15">
      <c r="A398" s="120" t="s">
        <v>2933</v>
      </c>
      <c r="B398" s="3">
        <v>2</v>
      </c>
    </row>
    <row r="399" spans="1:2" ht="15">
      <c r="A399" s="120" t="s">
        <v>2934</v>
      </c>
      <c r="B399" s="3">
        <v>2</v>
      </c>
    </row>
    <row r="400" spans="1:2" ht="15">
      <c r="A400" s="119" t="s">
        <v>2773</v>
      </c>
      <c r="B400" s="3">
        <v>5</v>
      </c>
    </row>
    <row r="401" spans="1:2" ht="15">
      <c r="A401" s="120" t="s">
        <v>2774</v>
      </c>
      <c r="B401" s="3">
        <v>1</v>
      </c>
    </row>
    <row r="402" spans="1:2" ht="15">
      <c r="A402" s="120" t="s">
        <v>2935</v>
      </c>
      <c r="B402" s="3">
        <v>1</v>
      </c>
    </row>
    <row r="403" spans="1:2" ht="15">
      <c r="A403" s="120" t="s">
        <v>2921</v>
      </c>
      <c r="B403" s="3">
        <v>1</v>
      </c>
    </row>
    <row r="404" spans="1:2" ht="15">
      <c r="A404" s="120" t="s">
        <v>2936</v>
      </c>
      <c r="B404" s="3">
        <v>1</v>
      </c>
    </row>
    <row r="405" spans="1:2" ht="15">
      <c r="A405" s="120" t="s">
        <v>2776</v>
      </c>
      <c r="B405" s="3">
        <v>1</v>
      </c>
    </row>
    <row r="406" spans="1:2" ht="15">
      <c r="A406" s="119" t="s">
        <v>2777</v>
      </c>
      <c r="B406" s="3">
        <v>1</v>
      </c>
    </row>
    <row r="407" spans="1:2" ht="15">
      <c r="A407" s="120" t="s">
        <v>2852</v>
      </c>
      <c r="B407" s="3">
        <v>1</v>
      </c>
    </row>
    <row r="408" spans="1:2" ht="15">
      <c r="A408" s="118" t="s">
        <v>2937</v>
      </c>
      <c r="B408" s="3">
        <v>26</v>
      </c>
    </row>
    <row r="409" spans="1:2" ht="15">
      <c r="A409" s="119" t="s">
        <v>2754</v>
      </c>
      <c r="B409" s="3">
        <v>6</v>
      </c>
    </row>
    <row r="410" spans="1:2" ht="15">
      <c r="A410" s="120" t="s">
        <v>2855</v>
      </c>
      <c r="B410" s="3">
        <v>2</v>
      </c>
    </row>
    <row r="411" spans="1:2" ht="15">
      <c r="A411" s="120" t="s">
        <v>2831</v>
      </c>
      <c r="B411" s="3">
        <v>1</v>
      </c>
    </row>
    <row r="412" spans="1:2" ht="15">
      <c r="A412" s="120" t="s">
        <v>2926</v>
      </c>
      <c r="B412" s="3">
        <v>3</v>
      </c>
    </row>
    <row r="413" spans="1:2" ht="15">
      <c r="A413" s="119" t="s">
        <v>2740</v>
      </c>
      <c r="B413" s="3">
        <v>4</v>
      </c>
    </row>
    <row r="414" spans="1:2" ht="15">
      <c r="A414" s="120" t="s">
        <v>2877</v>
      </c>
      <c r="B414" s="3">
        <v>2</v>
      </c>
    </row>
    <row r="415" spans="1:2" ht="15">
      <c r="A415" s="120" t="s">
        <v>2878</v>
      </c>
      <c r="B415" s="3">
        <v>1</v>
      </c>
    </row>
    <row r="416" spans="1:2" ht="15">
      <c r="A416" s="120" t="s">
        <v>2938</v>
      </c>
      <c r="B416" s="3">
        <v>1</v>
      </c>
    </row>
    <row r="417" spans="1:2" ht="15">
      <c r="A417" s="119" t="s">
        <v>2742</v>
      </c>
      <c r="B417" s="3">
        <v>11</v>
      </c>
    </row>
    <row r="418" spans="1:2" ht="15">
      <c r="A418" s="120" t="s">
        <v>2802</v>
      </c>
      <c r="B418" s="3">
        <v>1</v>
      </c>
    </row>
    <row r="419" spans="1:2" ht="15">
      <c r="A419" s="120" t="s">
        <v>2880</v>
      </c>
      <c r="B419" s="3">
        <v>1</v>
      </c>
    </row>
    <row r="420" spans="1:2" ht="15">
      <c r="A420" s="120" t="s">
        <v>2939</v>
      </c>
      <c r="B420" s="3">
        <v>1</v>
      </c>
    </row>
    <row r="421" spans="1:2" ht="15">
      <c r="A421" s="120" t="s">
        <v>2762</v>
      </c>
      <c r="B421" s="3">
        <v>1</v>
      </c>
    </row>
    <row r="422" spans="1:2" ht="15">
      <c r="A422" s="120" t="s">
        <v>2940</v>
      </c>
      <c r="B422" s="3">
        <v>1</v>
      </c>
    </row>
    <row r="423" spans="1:2" ht="15">
      <c r="A423" s="120" t="s">
        <v>2803</v>
      </c>
      <c r="B423" s="3">
        <v>5</v>
      </c>
    </row>
    <row r="424" spans="1:2" ht="15">
      <c r="A424" s="120" t="s">
        <v>2897</v>
      </c>
      <c r="B424" s="3">
        <v>1</v>
      </c>
    </row>
    <row r="425" spans="1:2" ht="15">
      <c r="A425" s="119" t="s">
        <v>2727</v>
      </c>
      <c r="B425" s="3">
        <v>5</v>
      </c>
    </row>
    <row r="426" spans="1:2" ht="15">
      <c r="A426" s="120" t="s">
        <v>2808</v>
      </c>
      <c r="B426" s="3">
        <v>1</v>
      </c>
    </row>
    <row r="427" spans="1:2" ht="15">
      <c r="A427" s="120" t="s">
        <v>2728</v>
      </c>
      <c r="B427" s="3">
        <v>1</v>
      </c>
    </row>
    <row r="428" spans="1:2" ht="15">
      <c r="A428" s="120" t="s">
        <v>2914</v>
      </c>
      <c r="B428" s="3">
        <v>1</v>
      </c>
    </row>
    <row r="429" spans="1:2" ht="15">
      <c r="A429" s="120" t="s">
        <v>2941</v>
      </c>
      <c r="B429" s="3">
        <v>1</v>
      </c>
    </row>
    <row r="430" spans="1:2" ht="15">
      <c r="A430" s="120" t="s">
        <v>2809</v>
      </c>
      <c r="B430" s="3">
        <v>1</v>
      </c>
    </row>
    <row r="431" spans="1:2" ht="15">
      <c r="A431" s="118" t="s">
        <v>2725</v>
      </c>
      <c r="B431" s="3">
        <v>388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2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1240</v>
      </c>
      <c r="AE2" s="13" t="s">
        <v>1241</v>
      </c>
      <c r="AF2" s="13" t="s">
        <v>326</v>
      </c>
      <c r="AG2" s="13" t="s">
        <v>327</v>
      </c>
      <c r="AH2" s="13" t="s">
        <v>328</v>
      </c>
      <c r="AI2" s="13" t="s">
        <v>1242</v>
      </c>
      <c r="AJ2" s="13" t="s">
        <v>334</v>
      </c>
      <c r="AK2" s="13" t="s">
        <v>1243</v>
      </c>
      <c r="AL2" s="13" t="s">
        <v>1244</v>
      </c>
      <c r="AM2" s="13" t="s">
        <v>1245</v>
      </c>
      <c r="AN2" s="13" t="s">
        <v>1246</v>
      </c>
      <c r="AO2" s="13" t="s">
        <v>1247</v>
      </c>
      <c r="AP2" s="13" t="s">
        <v>1248</v>
      </c>
      <c r="AQ2" s="13" t="s">
        <v>1249</v>
      </c>
      <c r="AR2" s="13" t="s">
        <v>1250</v>
      </c>
      <c r="AS2" s="13" t="s">
        <v>1251</v>
      </c>
      <c r="AT2" s="13" t="s">
        <v>1252</v>
      </c>
      <c r="AU2" s="13" t="s">
        <v>1415</v>
      </c>
      <c r="AV2" s="113" t="s">
        <v>2072</v>
      </c>
      <c r="AW2" s="113" t="s">
        <v>2073</v>
      </c>
      <c r="AX2" s="113" t="s">
        <v>2074</v>
      </c>
      <c r="AY2" s="113" t="s">
        <v>2075</v>
      </c>
      <c r="AZ2" s="113" t="s">
        <v>2076</v>
      </c>
      <c r="BA2" s="113" t="s">
        <v>2077</v>
      </c>
      <c r="BB2" s="113" t="s">
        <v>2078</v>
      </c>
      <c r="BC2" s="113" t="s">
        <v>2079</v>
      </c>
      <c r="BD2" s="113" t="s">
        <v>2081</v>
      </c>
      <c r="BE2" s="113" t="s">
        <v>2333</v>
      </c>
      <c r="BF2" s="113" t="s">
        <v>2341</v>
      </c>
      <c r="BG2" s="113" t="s">
        <v>2344</v>
      </c>
      <c r="BH2" s="113" t="s">
        <v>2349</v>
      </c>
      <c r="BI2" s="113" t="s">
        <v>2353</v>
      </c>
      <c r="BJ2" s="113" t="s">
        <v>2354</v>
      </c>
      <c r="BK2" s="113" t="s">
        <v>2355</v>
      </c>
      <c r="BL2" s="113" t="s">
        <v>2520</v>
      </c>
      <c r="BM2" s="113" t="s">
        <v>2547</v>
      </c>
      <c r="BN2" s="113" t="s">
        <v>2707</v>
      </c>
      <c r="BO2" s="3"/>
      <c r="BP2" s="3"/>
    </row>
    <row r="3" spans="1:68" ht="15" customHeight="1">
      <c r="A3" s="65" t="s">
        <v>562</v>
      </c>
      <c r="B3" s="66"/>
      <c r="C3" s="66"/>
      <c r="D3" s="67">
        <v>150</v>
      </c>
      <c r="E3" s="69"/>
      <c r="F3" s="103" t="str">
        <f>HYPERLINK("https://yt3.ggpht.com/ytc/AKedOLR5VOzrGHKgisyiue8Z3VeU2bNpGDR5O_jPBCZd=s88-c-k-c0x00ffffff-no-rj")</f>
        <v>https://yt3.ggpht.com/ytc/AKedOLR5VOzrGHKgisyiue8Z3VeU2bNpGDR5O_jPBCZd=s88-c-k-c0x00ffffff-no-rj</v>
      </c>
      <c r="G3" s="66"/>
      <c r="H3" s="70" t="s">
        <v>1034</v>
      </c>
      <c r="I3" s="71"/>
      <c r="J3" s="71" t="s">
        <v>159</v>
      </c>
      <c r="K3" s="70" t="s">
        <v>1034</v>
      </c>
      <c r="L3" s="74">
        <v>1</v>
      </c>
      <c r="M3" s="75">
        <v>8109.59228515625</v>
      </c>
      <c r="N3" s="75">
        <v>808.74267578125</v>
      </c>
      <c r="O3" s="76"/>
      <c r="P3" s="77"/>
      <c r="Q3" s="77"/>
      <c r="R3" s="49"/>
      <c r="S3" s="49">
        <v>0</v>
      </c>
      <c r="T3" s="49">
        <v>1</v>
      </c>
      <c r="U3" s="50">
        <v>0</v>
      </c>
      <c r="V3" s="50">
        <v>0.004484</v>
      </c>
      <c r="W3" s="50">
        <v>0</v>
      </c>
      <c r="X3" s="50">
        <v>0.004153</v>
      </c>
      <c r="Y3" s="50">
        <v>0</v>
      </c>
      <c r="Z3" s="50">
        <v>0</v>
      </c>
      <c r="AA3" s="72">
        <v>3</v>
      </c>
      <c r="AB3" s="72"/>
      <c r="AC3" s="73"/>
      <c r="AD3" s="80" t="s">
        <v>1034</v>
      </c>
      <c r="AE3" s="80"/>
      <c r="AF3" s="80"/>
      <c r="AG3" s="80"/>
      <c r="AH3" s="80"/>
      <c r="AI3" s="80"/>
      <c r="AJ3" s="87">
        <v>40836.894224537034</v>
      </c>
      <c r="AK3" s="85" t="str">
        <f>HYPERLINK("https://yt3.ggpht.com/ytc/AKedOLR5VOzrGHKgisyiue8Z3VeU2bNpGDR5O_jPBCZd=s88-c-k-c0x00ffffff-no-rj")</f>
        <v>https://yt3.ggpht.com/ytc/AKedOLR5VOzrGHKgisyiue8Z3VeU2bNpGDR5O_jPBCZd=s88-c-k-c0x00ffffff-no-rj</v>
      </c>
      <c r="AL3" s="80">
        <v>3178</v>
      </c>
      <c r="AM3" s="80">
        <v>0</v>
      </c>
      <c r="AN3" s="80">
        <v>8</v>
      </c>
      <c r="AO3" s="80" t="b">
        <v>0</v>
      </c>
      <c r="AP3" s="80">
        <v>8</v>
      </c>
      <c r="AQ3" s="80"/>
      <c r="AR3" s="80"/>
      <c r="AS3" s="80" t="s">
        <v>1376</v>
      </c>
      <c r="AT3" s="85" t="str">
        <f>HYPERLINK("https://www.youtube.com/channel/UCdmhCH2BrYLQeiYzykYSBlA")</f>
        <v>https://www.youtube.com/channel/UCdmhCH2BrYLQeiYzykYSBlA</v>
      </c>
      <c r="AU3" s="80" t="str">
        <f>REPLACE(INDEX(GroupVertices[Group],MATCH(Vertices[[#This Row],[Vertex]],GroupVertices[Vertex],0)),1,1,"")</f>
        <v>25</v>
      </c>
      <c r="AV3" s="49">
        <v>0</v>
      </c>
      <c r="AW3" s="50">
        <v>0</v>
      </c>
      <c r="AX3" s="49">
        <v>0</v>
      </c>
      <c r="AY3" s="50">
        <v>0</v>
      </c>
      <c r="AZ3" s="49">
        <v>0</v>
      </c>
      <c r="BA3" s="50">
        <v>0</v>
      </c>
      <c r="BB3" s="49">
        <v>5</v>
      </c>
      <c r="BC3" s="50">
        <v>100</v>
      </c>
      <c r="BD3" s="49">
        <v>5</v>
      </c>
      <c r="BE3" s="49"/>
      <c r="BF3" s="49"/>
      <c r="BG3" s="49"/>
      <c r="BH3" s="49"/>
      <c r="BI3" s="49"/>
      <c r="BJ3" s="49"/>
      <c r="BK3" s="111" t="s">
        <v>2356</v>
      </c>
      <c r="BL3" s="111" t="s">
        <v>2356</v>
      </c>
      <c r="BM3" s="111" t="s">
        <v>2548</v>
      </c>
      <c r="BN3" s="111" t="s">
        <v>2548</v>
      </c>
      <c r="BO3" s="3"/>
      <c r="BP3" s="3"/>
    </row>
    <row r="4" spans="1:71" ht="15">
      <c r="A4" s="65" t="s">
        <v>521</v>
      </c>
      <c r="B4" s="66"/>
      <c r="C4" s="66"/>
      <c r="D4" s="67">
        <v>150</v>
      </c>
      <c r="E4" s="69"/>
      <c r="F4" s="103" t="str">
        <f>HYPERLINK("https://yt3.ggpht.com/ytc/AKedOLRvn0qUde_agywzRMdb8UUiAgARhnLEg92EgzmbKWU=s88-c-k-c0x00ffffff-no-rj")</f>
        <v>https://yt3.ggpht.com/ytc/AKedOLRvn0qUde_agywzRMdb8UUiAgARhnLEg92EgzmbKWU=s88-c-k-c0x00ffffff-no-rj</v>
      </c>
      <c r="G4" s="66"/>
      <c r="H4" s="70" t="s">
        <v>1253</v>
      </c>
      <c r="I4" s="71"/>
      <c r="J4" s="71" t="s">
        <v>159</v>
      </c>
      <c r="K4" s="70" t="s">
        <v>1253</v>
      </c>
      <c r="L4" s="74">
        <v>1</v>
      </c>
      <c r="M4" s="75">
        <v>8109.59228515625</v>
      </c>
      <c r="N4" s="75">
        <v>367.61029052734375</v>
      </c>
      <c r="O4" s="76"/>
      <c r="P4" s="77"/>
      <c r="Q4" s="77"/>
      <c r="R4" s="89"/>
      <c r="S4" s="49">
        <v>2</v>
      </c>
      <c r="T4" s="49">
        <v>1</v>
      </c>
      <c r="U4" s="50">
        <v>0</v>
      </c>
      <c r="V4" s="50">
        <v>0.004484</v>
      </c>
      <c r="W4" s="50">
        <v>0</v>
      </c>
      <c r="X4" s="50">
        <v>0.004776</v>
      </c>
      <c r="Y4" s="50">
        <v>0</v>
      </c>
      <c r="Z4" s="50">
        <v>0</v>
      </c>
      <c r="AA4" s="72">
        <v>4</v>
      </c>
      <c r="AB4" s="72"/>
      <c r="AC4" s="73"/>
      <c r="AD4" s="80" t="s">
        <v>1253</v>
      </c>
      <c r="AE4" s="80"/>
      <c r="AF4" s="80"/>
      <c r="AG4" s="80"/>
      <c r="AH4" s="80"/>
      <c r="AI4" s="80" t="s">
        <v>1340</v>
      </c>
      <c r="AJ4" s="87">
        <v>39104.838171296295</v>
      </c>
      <c r="AK4" s="85" t="str">
        <f>HYPERLINK("https://yt3.ggpht.com/ytc/AKedOLRvn0qUde_agywzRMdb8UUiAgARhnLEg92EgzmbKWU=s88-c-k-c0x00ffffff-no-rj")</f>
        <v>https://yt3.ggpht.com/ytc/AKedOLRvn0qUde_agywzRMdb8UUiAgARhnLEg92EgzmbKWU=s88-c-k-c0x00ffffff-no-rj</v>
      </c>
      <c r="AL4" s="80">
        <v>34922</v>
      </c>
      <c r="AM4" s="80">
        <v>0</v>
      </c>
      <c r="AN4" s="80">
        <v>263</v>
      </c>
      <c r="AO4" s="80" t="b">
        <v>0</v>
      </c>
      <c r="AP4" s="80">
        <v>55</v>
      </c>
      <c r="AQ4" s="80"/>
      <c r="AR4" s="80"/>
      <c r="AS4" s="80" t="s">
        <v>1376</v>
      </c>
      <c r="AT4" s="85" t="str">
        <f>HYPERLINK("https://www.youtube.com/channel/UCl3_JxeNm227rFEceAPDi7A")</f>
        <v>https://www.youtube.com/channel/UCl3_JxeNm227rFEceAPDi7A</v>
      </c>
      <c r="AU4" s="80" t="str">
        <f>REPLACE(INDEX(GroupVertices[Group],MATCH(Vertices[[#This Row],[Vertex]],GroupVertices[Vertex],0)),1,1,"")</f>
        <v>25</v>
      </c>
      <c r="AV4" s="49"/>
      <c r="AW4" s="50"/>
      <c r="AX4" s="49"/>
      <c r="AY4" s="50"/>
      <c r="AZ4" s="49"/>
      <c r="BA4" s="50"/>
      <c r="BB4" s="49"/>
      <c r="BC4" s="50"/>
      <c r="BD4" s="49"/>
      <c r="BE4" s="49"/>
      <c r="BF4" s="49"/>
      <c r="BG4" s="49"/>
      <c r="BH4" s="49"/>
      <c r="BI4" s="49"/>
      <c r="BJ4" s="49"/>
      <c r="BK4" s="111" t="s">
        <v>1239</v>
      </c>
      <c r="BL4" s="111" t="s">
        <v>1239</v>
      </c>
      <c r="BM4" s="111" t="s">
        <v>1239</v>
      </c>
      <c r="BN4" s="111" t="s">
        <v>1239</v>
      </c>
      <c r="BO4" s="2"/>
      <c r="BP4" s="3"/>
      <c r="BQ4" s="3"/>
      <c r="BR4" s="3"/>
      <c r="BS4" s="3"/>
    </row>
    <row r="5" spans="1:71" ht="15">
      <c r="A5" s="65" t="s">
        <v>339</v>
      </c>
      <c r="B5" s="66"/>
      <c r="C5" s="66"/>
      <c r="D5" s="67">
        <v>150</v>
      </c>
      <c r="E5" s="69"/>
      <c r="F5" s="103" t="str">
        <f>HYPERLINK("https://yt3.ggpht.com/ytc/AKedOLTqjENcQYaImQLgoC-XxoO_rrmuz9WtFxWyWYFvuwY=s88-c-k-c0x00ffffff-no-rj")</f>
        <v>https://yt3.ggpht.com/ytc/AKedOLTqjENcQYaImQLgoC-XxoO_rrmuz9WtFxWyWYFvuwY=s88-c-k-c0x00ffffff-no-rj</v>
      </c>
      <c r="G5" s="66"/>
      <c r="H5" s="70" t="s">
        <v>852</v>
      </c>
      <c r="I5" s="71"/>
      <c r="J5" s="71" t="s">
        <v>159</v>
      </c>
      <c r="K5" s="70" t="s">
        <v>852</v>
      </c>
      <c r="L5" s="74">
        <v>1</v>
      </c>
      <c r="M5" s="75">
        <v>9833.099609375</v>
      </c>
      <c r="N5" s="75">
        <v>5100.55908203125</v>
      </c>
      <c r="O5" s="76"/>
      <c r="P5" s="77"/>
      <c r="Q5" s="77"/>
      <c r="R5" s="89"/>
      <c r="S5" s="49">
        <v>0</v>
      </c>
      <c r="T5" s="49">
        <v>1</v>
      </c>
      <c r="U5" s="50">
        <v>0</v>
      </c>
      <c r="V5" s="50">
        <v>0.013453</v>
      </c>
      <c r="W5" s="50">
        <v>0</v>
      </c>
      <c r="X5" s="50">
        <v>0.003962</v>
      </c>
      <c r="Y5" s="50">
        <v>0</v>
      </c>
      <c r="Z5" s="50">
        <v>0</v>
      </c>
      <c r="AA5" s="72">
        <v>5</v>
      </c>
      <c r="AB5" s="72"/>
      <c r="AC5" s="73"/>
      <c r="AD5" s="80" t="s">
        <v>852</v>
      </c>
      <c r="AE5" s="80"/>
      <c r="AF5" s="80"/>
      <c r="AG5" s="80"/>
      <c r="AH5" s="80"/>
      <c r="AI5" s="80"/>
      <c r="AJ5" s="87">
        <v>40858.73113425926</v>
      </c>
      <c r="AK5" s="85" t="str">
        <f>HYPERLINK("https://yt3.ggpht.com/ytc/AKedOLTqjENcQYaImQLgoC-XxoO_rrmuz9WtFxWyWYFvuwY=s88-c-k-c0x00ffffff-no-rj")</f>
        <v>https://yt3.ggpht.com/ytc/AKedOLTqjENcQYaImQLgoC-XxoO_rrmuz9WtFxWyWYFvuwY=s88-c-k-c0x00ffffff-no-rj</v>
      </c>
      <c r="AL5" s="80">
        <v>372</v>
      </c>
      <c r="AM5" s="80">
        <v>0</v>
      </c>
      <c r="AN5" s="80">
        <v>1</v>
      </c>
      <c r="AO5" s="80" t="b">
        <v>0</v>
      </c>
      <c r="AP5" s="80">
        <v>3</v>
      </c>
      <c r="AQ5" s="80"/>
      <c r="AR5" s="80"/>
      <c r="AS5" s="80" t="s">
        <v>1376</v>
      </c>
      <c r="AT5" s="85" t="str">
        <f>HYPERLINK("https://www.youtube.com/channel/UCEm5HlGvJXSCTKsFxWih04g")</f>
        <v>https://www.youtube.com/channel/UCEm5HlGvJXSCTKsFxWih04g</v>
      </c>
      <c r="AU5" s="80" t="str">
        <f>REPLACE(INDEX(GroupVertices[Group],MATCH(Vertices[[#This Row],[Vertex]],GroupVertices[Vertex],0)),1,1,"")</f>
        <v>11</v>
      </c>
      <c r="AV5" s="49">
        <v>3</v>
      </c>
      <c r="AW5" s="50">
        <v>6.25</v>
      </c>
      <c r="AX5" s="49">
        <v>0</v>
      </c>
      <c r="AY5" s="50">
        <v>0</v>
      </c>
      <c r="AZ5" s="49">
        <v>0</v>
      </c>
      <c r="BA5" s="50">
        <v>0</v>
      </c>
      <c r="BB5" s="49">
        <v>45</v>
      </c>
      <c r="BC5" s="50">
        <v>93.75</v>
      </c>
      <c r="BD5" s="49">
        <v>48</v>
      </c>
      <c r="BE5" s="49"/>
      <c r="BF5" s="49"/>
      <c r="BG5" s="49"/>
      <c r="BH5" s="49"/>
      <c r="BI5" s="49"/>
      <c r="BJ5" s="49"/>
      <c r="BK5" s="111" t="s">
        <v>2357</v>
      </c>
      <c r="BL5" s="111" t="s">
        <v>2357</v>
      </c>
      <c r="BM5" s="111" t="s">
        <v>2549</v>
      </c>
      <c r="BN5" s="111" t="s">
        <v>2549</v>
      </c>
      <c r="BO5" s="2"/>
      <c r="BP5" s="3"/>
      <c r="BQ5" s="3"/>
      <c r="BR5" s="3"/>
      <c r="BS5" s="3"/>
    </row>
    <row r="6" spans="1:71" ht="15">
      <c r="A6" s="65" t="s">
        <v>525</v>
      </c>
      <c r="B6" s="66"/>
      <c r="C6" s="66"/>
      <c r="D6" s="67">
        <v>172.79693486590037</v>
      </c>
      <c r="E6" s="69"/>
      <c r="F6" s="103" t="str">
        <f>HYPERLINK("https://yt3.ggpht.com/ytc/AKedOLRNmvzFj_VgiFeCWEUuXzIElwEwIPi9A04JDIxe9us=s88-c-k-c0x00ffffff-no-rj")</f>
        <v>https://yt3.ggpht.com/ytc/AKedOLRNmvzFj_VgiFeCWEUuXzIElwEwIPi9A04JDIxe9us=s88-c-k-c0x00ffffff-no-rj</v>
      </c>
      <c r="G6" s="66"/>
      <c r="H6" s="70" t="s">
        <v>1254</v>
      </c>
      <c r="I6" s="71"/>
      <c r="J6" s="71" t="s">
        <v>75</v>
      </c>
      <c r="K6" s="70" t="s">
        <v>1254</v>
      </c>
      <c r="L6" s="74">
        <v>21.191909598600905</v>
      </c>
      <c r="M6" s="75">
        <v>9055.099609375</v>
      </c>
      <c r="N6" s="75">
        <v>5387.16162109375</v>
      </c>
      <c r="O6" s="76"/>
      <c r="P6" s="77"/>
      <c r="Q6" s="77"/>
      <c r="R6" s="89"/>
      <c r="S6" s="49">
        <v>6</v>
      </c>
      <c r="T6" s="49">
        <v>1</v>
      </c>
      <c r="U6" s="50">
        <v>28</v>
      </c>
      <c r="V6" s="50">
        <v>0.023062</v>
      </c>
      <c r="W6" s="50">
        <v>0</v>
      </c>
      <c r="X6" s="50">
        <v>0.006682</v>
      </c>
      <c r="Y6" s="50">
        <v>0</v>
      </c>
      <c r="Z6" s="50">
        <v>0</v>
      </c>
      <c r="AA6" s="72">
        <v>6</v>
      </c>
      <c r="AB6" s="72"/>
      <c r="AC6" s="73"/>
      <c r="AD6" s="80" t="s">
        <v>1254</v>
      </c>
      <c r="AE6" s="80"/>
      <c r="AF6" s="80"/>
      <c r="AG6" s="80"/>
      <c r="AH6" s="80"/>
      <c r="AI6" s="80" t="s">
        <v>1341</v>
      </c>
      <c r="AJ6" s="87">
        <v>40496.93525462963</v>
      </c>
      <c r="AK6" s="85" t="str">
        <f>HYPERLINK("https://yt3.ggpht.com/ytc/AKedOLRNmvzFj_VgiFeCWEUuXzIElwEwIPi9A04JDIxe9us=s88-c-k-c0x00ffffff-no-rj")</f>
        <v>https://yt3.ggpht.com/ytc/AKedOLRNmvzFj_VgiFeCWEUuXzIElwEwIPi9A04JDIxe9us=s88-c-k-c0x00ffffff-no-rj</v>
      </c>
      <c r="AL6" s="80">
        <v>16308</v>
      </c>
      <c r="AM6" s="80">
        <v>0</v>
      </c>
      <c r="AN6" s="80">
        <v>41</v>
      </c>
      <c r="AO6" s="80" t="b">
        <v>0</v>
      </c>
      <c r="AP6" s="80">
        <v>2</v>
      </c>
      <c r="AQ6" s="80"/>
      <c r="AR6" s="80"/>
      <c r="AS6" s="80" t="s">
        <v>1376</v>
      </c>
      <c r="AT6" s="85" t="str">
        <f>HYPERLINK("https://www.youtube.com/channel/UCoB94ow_SQUv369e2uhOXSw")</f>
        <v>https://www.youtube.com/channel/UCoB94ow_SQUv369e2uhOXSw</v>
      </c>
      <c r="AU6" s="80" t="str">
        <f>REPLACE(INDEX(GroupVertices[Group],MATCH(Vertices[[#This Row],[Vertex]],GroupVertices[Vertex],0)),1,1,"")</f>
        <v>11</v>
      </c>
      <c r="AV6" s="49"/>
      <c r="AW6" s="50"/>
      <c r="AX6" s="49"/>
      <c r="AY6" s="50"/>
      <c r="AZ6" s="49"/>
      <c r="BA6" s="50"/>
      <c r="BB6" s="49"/>
      <c r="BC6" s="50"/>
      <c r="BD6" s="49"/>
      <c r="BE6" s="49"/>
      <c r="BF6" s="49"/>
      <c r="BG6" s="49"/>
      <c r="BH6" s="49"/>
      <c r="BI6" s="49"/>
      <c r="BJ6" s="49"/>
      <c r="BK6" s="111" t="s">
        <v>1239</v>
      </c>
      <c r="BL6" s="111" t="s">
        <v>1239</v>
      </c>
      <c r="BM6" s="111" t="s">
        <v>1239</v>
      </c>
      <c r="BN6" s="111" t="s">
        <v>1239</v>
      </c>
      <c r="BO6" s="2"/>
      <c r="BP6" s="3"/>
      <c r="BQ6" s="3"/>
      <c r="BR6" s="3"/>
      <c r="BS6" s="3"/>
    </row>
    <row r="7" spans="1:71" ht="15">
      <c r="A7" s="65" t="s">
        <v>340</v>
      </c>
      <c r="B7" s="66"/>
      <c r="C7" s="66"/>
      <c r="D7" s="67">
        <v>150</v>
      </c>
      <c r="E7" s="69"/>
      <c r="F7" s="103" t="str">
        <f>HYPERLINK("https://yt3.ggpht.com/ytc/AKedOLT8xE2uxWUW4GnWGmg45p_56v3rvADpsjESQw=s88-c-k-c0x00ffffff-no-rj")</f>
        <v>https://yt3.ggpht.com/ytc/AKedOLT8xE2uxWUW4GnWGmg45p_56v3rvADpsjESQw=s88-c-k-c0x00ffffff-no-rj</v>
      </c>
      <c r="G7" s="66"/>
      <c r="H7" s="70" t="s">
        <v>853</v>
      </c>
      <c r="I7" s="71"/>
      <c r="J7" s="71" t="s">
        <v>159</v>
      </c>
      <c r="K7" s="70" t="s">
        <v>853</v>
      </c>
      <c r="L7" s="74">
        <v>1</v>
      </c>
      <c r="M7" s="75">
        <v>8350.8935546875</v>
      </c>
      <c r="N7" s="75">
        <v>5762.66552734375</v>
      </c>
      <c r="O7" s="76"/>
      <c r="P7" s="77"/>
      <c r="Q7" s="77"/>
      <c r="R7" s="89"/>
      <c r="S7" s="49">
        <v>0</v>
      </c>
      <c r="T7" s="49">
        <v>1</v>
      </c>
      <c r="U7" s="50">
        <v>0</v>
      </c>
      <c r="V7" s="50">
        <v>0.013453</v>
      </c>
      <c r="W7" s="50">
        <v>0</v>
      </c>
      <c r="X7" s="50">
        <v>0.003962</v>
      </c>
      <c r="Y7" s="50">
        <v>0</v>
      </c>
      <c r="Z7" s="50">
        <v>0</v>
      </c>
      <c r="AA7" s="72">
        <v>7</v>
      </c>
      <c r="AB7" s="72"/>
      <c r="AC7" s="73"/>
      <c r="AD7" s="80" t="s">
        <v>853</v>
      </c>
      <c r="AE7" s="80"/>
      <c r="AF7" s="80"/>
      <c r="AG7" s="80"/>
      <c r="AH7" s="80"/>
      <c r="AI7" s="80"/>
      <c r="AJ7" s="87">
        <v>41292.89858796296</v>
      </c>
      <c r="AK7" s="85" t="str">
        <f>HYPERLINK("https://yt3.ggpht.com/ytc/AKedOLT8xE2uxWUW4GnWGmg45p_56v3rvADpsjESQw=s88-c-k-c0x00ffffff-no-rj")</f>
        <v>https://yt3.ggpht.com/ytc/AKedOLT8xE2uxWUW4GnWGmg45p_56v3rvADpsjESQw=s88-c-k-c0x00ffffff-no-rj</v>
      </c>
      <c r="AL7" s="80">
        <v>0</v>
      </c>
      <c r="AM7" s="80">
        <v>0</v>
      </c>
      <c r="AN7" s="80">
        <v>0</v>
      </c>
      <c r="AO7" s="80" t="b">
        <v>0</v>
      </c>
      <c r="AP7" s="80">
        <v>0</v>
      </c>
      <c r="AQ7" s="80"/>
      <c r="AR7" s="80"/>
      <c r="AS7" s="80" t="s">
        <v>1376</v>
      </c>
      <c r="AT7" s="85" t="str">
        <f>HYPERLINK("https://www.youtube.com/channel/UC6q8R5SJYsuHhleU2GgJKGA")</f>
        <v>https://www.youtube.com/channel/UC6q8R5SJYsuHhleU2GgJKGA</v>
      </c>
      <c r="AU7" s="80" t="str">
        <f>REPLACE(INDEX(GroupVertices[Group],MATCH(Vertices[[#This Row],[Vertex]],GroupVertices[Vertex],0)),1,1,"")</f>
        <v>11</v>
      </c>
      <c r="AV7" s="49">
        <v>2</v>
      </c>
      <c r="AW7" s="50">
        <v>4.166666666666667</v>
      </c>
      <c r="AX7" s="49">
        <v>0</v>
      </c>
      <c r="AY7" s="50">
        <v>0</v>
      </c>
      <c r="AZ7" s="49">
        <v>0</v>
      </c>
      <c r="BA7" s="50">
        <v>0</v>
      </c>
      <c r="BB7" s="49">
        <v>46</v>
      </c>
      <c r="BC7" s="50">
        <v>95.83333333333333</v>
      </c>
      <c r="BD7" s="49">
        <v>48</v>
      </c>
      <c r="BE7" s="49"/>
      <c r="BF7" s="49"/>
      <c r="BG7" s="49"/>
      <c r="BH7" s="49"/>
      <c r="BI7" s="49"/>
      <c r="BJ7" s="49"/>
      <c r="BK7" s="111" t="s">
        <v>2358</v>
      </c>
      <c r="BL7" s="111" t="s">
        <v>2358</v>
      </c>
      <c r="BM7" s="111" t="s">
        <v>2550</v>
      </c>
      <c r="BN7" s="111" t="s">
        <v>2550</v>
      </c>
      <c r="BO7" s="2"/>
      <c r="BP7" s="3"/>
      <c r="BQ7" s="3"/>
      <c r="BR7" s="3"/>
      <c r="BS7" s="3"/>
    </row>
    <row r="8" spans="1:71" ht="15">
      <c r="A8" s="65" t="s">
        <v>341</v>
      </c>
      <c r="B8" s="66"/>
      <c r="C8" s="66"/>
      <c r="D8" s="67">
        <v>150</v>
      </c>
      <c r="E8" s="69"/>
      <c r="F8" s="103" t="str">
        <f>HYPERLINK("https://yt3.ggpht.com/ytc/AKedOLSEKKjaoiztEAEeKuXidGPrZ8pvHZewQc29qbpN8A=s88-c-k-c0x00ffffff-no-rj")</f>
        <v>https://yt3.ggpht.com/ytc/AKedOLSEKKjaoiztEAEeKuXidGPrZ8pvHZewQc29qbpN8A=s88-c-k-c0x00ffffff-no-rj</v>
      </c>
      <c r="G8" s="66"/>
      <c r="H8" s="70" t="s">
        <v>854</v>
      </c>
      <c r="I8" s="71"/>
      <c r="J8" s="71" t="s">
        <v>159</v>
      </c>
      <c r="K8" s="70" t="s">
        <v>854</v>
      </c>
      <c r="L8" s="74">
        <v>1</v>
      </c>
      <c r="M8" s="75">
        <v>9078.279296875</v>
      </c>
      <c r="N8" s="75">
        <v>4764.2294921875</v>
      </c>
      <c r="O8" s="76"/>
      <c r="P8" s="77"/>
      <c r="Q8" s="77"/>
      <c r="R8" s="89"/>
      <c r="S8" s="49">
        <v>0</v>
      </c>
      <c r="T8" s="49">
        <v>1</v>
      </c>
      <c r="U8" s="50">
        <v>0</v>
      </c>
      <c r="V8" s="50">
        <v>0.013453</v>
      </c>
      <c r="W8" s="50">
        <v>0</v>
      </c>
      <c r="X8" s="50">
        <v>0.003962</v>
      </c>
      <c r="Y8" s="50">
        <v>0</v>
      </c>
      <c r="Z8" s="50">
        <v>0</v>
      </c>
      <c r="AA8" s="72">
        <v>8</v>
      </c>
      <c r="AB8" s="72"/>
      <c r="AC8" s="73"/>
      <c r="AD8" s="80" t="s">
        <v>854</v>
      </c>
      <c r="AE8" s="80"/>
      <c r="AF8" s="80"/>
      <c r="AG8" s="80"/>
      <c r="AH8" s="80"/>
      <c r="AI8" s="80"/>
      <c r="AJ8" s="87">
        <v>41388.64306712963</v>
      </c>
      <c r="AK8" s="85" t="str">
        <f>HYPERLINK("https://yt3.ggpht.com/ytc/AKedOLSEKKjaoiztEAEeKuXidGPrZ8pvHZewQc29qbpN8A=s88-c-k-c0x00ffffff-no-rj")</f>
        <v>https://yt3.ggpht.com/ytc/AKedOLSEKKjaoiztEAEeKuXidGPrZ8pvHZewQc29qbpN8A=s88-c-k-c0x00ffffff-no-rj</v>
      </c>
      <c r="AL8" s="80">
        <v>0</v>
      </c>
      <c r="AM8" s="80">
        <v>0</v>
      </c>
      <c r="AN8" s="80">
        <v>0</v>
      </c>
      <c r="AO8" s="80" t="b">
        <v>0</v>
      </c>
      <c r="AP8" s="80">
        <v>0</v>
      </c>
      <c r="AQ8" s="80"/>
      <c r="AR8" s="80"/>
      <c r="AS8" s="80" t="s">
        <v>1376</v>
      </c>
      <c r="AT8" s="85" t="str">
        <f>HYPERLINK("https://www.youtube.com/channel/UC2jHQ9iN3gjeCs6mCCyI_1g")</f>
        <v>https://www.youtube.com/channel/UC2jHQ9iN3gjeCs6mCCyI_1g</v>
      </c>
      <c r="AU8" s="80" t="str">
        <f>REPLACE(INDEX(GroupVertices[Group],MATCH(Vertices[[#This Row],[Vertex]],GroupVertices[Vertex],0)),1,1,"")</f>
        <v>11</v>
      </c>
      <c r="AV8" s="49">
        <v>0</v>
      </c>
      <c r="AW8" s="50">
        <v>0</v>
      </c>
      <c r="AX8" s="49">
        <v>0</v>
      </c>
      <c r="AY8" s="50">
        <v>0</v>
      </c>
      <c r="AZ8" s="49">
        <v>0</v>
      </c>
      <c r="BA8" s="50">
        <v>0</v>
      </c>
      <c r="BB8" s="49">
        <v>5</v>
      </c>
      <c r="BC8" s="50">
        <v>100</v>
      </c>
      <c r="BD8" s="49">
        <v>5</v>
      </c>
      <c r="BE8" s="49"/>
      <c r="BF8" s="49"/>
      <c r="BG8" s="49"/>
      <c r="BH8" s="49"/>
      <c r="BI8" s="49"/>
      <c r="BJ8" s="49"/>
      <c r="BK8" s="111" t="s">
        <v>2359</v>
      </c>
      <c r="BL8" s="111" t="s">
        <v>2359</v>
      </c>
      <c r="BM8" s="111" t="s">
        <v>1239</v>
      </c>
      <c r="BN8" s="111" t="s">
        <v>1239</v>
      </c>
      <c r="BO8" s="2"/>
      <c r="BP8" s="3"/>
      <c r="BQ8" s="3"/>
      <c r="BR8" s="3"/>
      <c r="BS8" s="3"/>
    </row>
    <row r="9" spans="1:71" ht="15">
      <c r="A9" s="65" t="s">
        <v>342</v>
      </c>
      <c r="B9" s="66"/>
      <c r="C9" s="66"/>
      <c r="D9" s="67">
        <v>150</v>
      </c>
      <c r="E9" s="69"/>
      <c r="F9" s="103" t="str">
        <f>HYPERLINK("https://yt3.ggpht.com/ytc/AKedOLREtIxMThGyECm0ikB-QlWvp4-P0v6cINonz5IMP90=s88-c-k-c0x00ffffff-no-rj")</f>
        <v>https://yt3.ggpht.com/ytc/AKedOLREtIxMThGyECm0ikB-QlWvp4-P0v6cINonz5IMP90=s88-c-k-c0x00ffffff-no-rj</v>
      </c>
      <c r="G9" s="66"/>
      <c r="H9" s="70" t="s">
        <v>855</v>
      </c>
      <c r="I9" s="71"/>
      <c r="J9" s="71" t="s">
        <v>159</v>
      </c>
      <c r="K9" s="70" t="s">
        <v>855</v>
      </c>
      <c r="L9" s="74">
        <v>1</v>
      </c>
      <c r="M9" s="75">
        <v>8290.041015625</v>
      </c>
      <c r="N9" s="75">
        <v>5116.337890625</v>
      </c>
      <c r="O9" s="76"/>
      <c r="P9" s="77"/>
      <c r="Q9" s="77"/>
      <c r="R9" s="89"/>
      <c r="S9" s="49">
        <v>0</v>
      </c>
      <c r="T9" s="49">
        <v>1</v>
      </c>
      <c r="U9" s="50">
        <v>0</v>
      </c>
      <c r="V9" s="50">
        <v>0.013453</v>
      </c>
      <c r="W9" s="50">
        <v>0</v>
      </c>
      <c r="X9" s="50">
        <v>0.003962</v>
      </c>
      <c r="Y9" s="50">
        <v>0</v>
      </c>
      <c r="Z9" s="50">
        <v>0</v>
      </c>
      <c r="AA9" s="72">
        <v>9</v>
      </c>
      <c r="AB9" s="72"/>
      <c r="AC9" s="73"/>
      <c r="AD9" s="80" t="s">
        <v>855</v>
      </c>
      <c r="AE9" s="80"/>
      <c r="AF9" s="80"/>
      <c r="AG9" s="80"/>
      <c r="AH9" s="80"/>
      <c r="AI9" s="80"/>
      <c r="AJ9" s="87">
        <v>39951.58636574074</v>
      </c>
      <c r="AK9" s="85" t="str">
        <f>HYPERLINK("https://yt3.ggpht.com/ytc/AKedOLREtIxMThGyECm0ikB-QlWvp4-P0v6cINonz5IMP90=s88-c-k-c0x00ffffff-no-rj")</f>
        <v>https://yt3.ggpht.com/ytc/AKedOLREtIxMThGyECm0ikB-QlWvp4-P0v6cINonz5IMP90=s88-c-k-c0x00ffffff-no-rj</v>
      </c>
      <c r="AL9" s="80">
        <v>77</v>
      </c>
      <c r="AM9" s="80">
        <v>0</v>
      </c>
      <c r="AN9" s="80">
        <v>0</v>
      </c>
      <c r="AO9" s="80" t="b">
        <v>0</v>
      </c>
      <c r="AP9" s="80">
        <v>2</v>
      </c>
      <c r="AQ9" s="80"/>
      <c r="AR9" s="80"/>
      <c r="AS9" s="80" t="s">
        <v>1376</v>
      </c>
      <c r="AT9" s="85" t="str">
        <f>HYPERLINK("https://www.youtube.com/channel/UC625RO8AWt6tzDrFxA22tPQ")</f>
        <v>https://www.youtube.com/channel/UC625RO8AWt6tzDrFxA22tPQ</v>
      </c>
      <c r="AU9" s="80" t="str">
        <f>REPLACE(INDEX(GroupVertices[Group],MATCH(Vertices[[#This Row],[Vertex]],GroupVertices[Vertex],0)),1,1,"")</f>
        <v>11</v>
      </c>
      <c r="AV9" s="49">
        <v>1</v>
      </c>
      <c r="AW9" s="50">
        <v>6.666666666666667</v>
      </c>
      <c r="AX9" s="49">
        <v>0</v>
      </c>
      <c r="AY9" s="50">
        <v>0</v>
      </c>
      <c r="AZ9" s="49">
        <v>0</v>
      </c>
      <c r="BA9" s="50">
        <v>0</v>
      </c>
      <c r="BB9" s="49">
        <v>14</v>
      </c>
      <c r="BC9" s="50">
        <v>93.33333333333333</v>
      </c>
      <c r="BD9" s="49">
        <v>15</v>
      </c>
      <c r="BE9" s="49"/>
      <c r="BF9" s="49"/>
      <c r="BG9" s="49"/>
      <c r="BH9" s="49"/>
      <c r="BI9" s="49"/>
      <c r="BJ9" s="49"/>
      <c r="BK9" s="111" t="s">
        <v>2360</v>
      </c>
      <c r="BL9" s="111" t="s">
        <v>2360</v>
      </c>
      <c r="BM9" s="111" t="s">
        <v>2551</v>
      </c>
      <c r="BN9" s="111" t="s">
        <v>2551</v>
      </c>
      <c r="BO9" s="2"/>
      <c r="BP9" s="3"/>
      <c r="BQ9" s="3"/>
      <c r="BR9" s="3"/>
      <c r="BS9" s="3"/>
    </row>
    <row r="10" spans="1:71" ht="15">
      <c r="A10" s="65" t="s">
        <v>343</v>
      </c>
      <c r="B10" s="66"/>
      <c r="C10" s="66"/>
      <c r="D10" s="67">
        <v>150</v>
      </c>
      <c r="E10" s="69"/>
      <c r="F10" s="103" t="str">
        <f>HYPERLINK("https://yt3.ggpht.com/ytc/AKedOLT2xDo3s2oRrPkjE8HTJIFm0kK7rU6h9zvEdGt3=s88-c-k-c0x00ffffff-no-rj")</f>
        <v>https://yt3.ggpht.com/ytc/AKedOLT2xDo3s2oRrPkjE8HTJIFm0kK7rU6h9zvEdGt3=s88-c-k-c0x00ffffff-no-rj</v>
      </c>
      <c r="G10" s="66"/>
      <c r="H10" s="70" t="s">
        <v>856</v>
      </c>
      <c r="I10" s="71"/>
      <c r="J10" s="71" t="s">
        <v>159</v>
      </c>
      <c r="K10" s="70" t="s">
        <v>856</v>
      </c>
      <c r="L10" s="74">
        <v>1</v>
      </c>
      <c r="M10" s="75">
        <v>9871.46484375</v>
      </c>
      <c r="N10" s="75">
        <v>6396.4189453125</v>
      </c>
      <c r="O10" s="76"/>
      <c r="P10" s="77"/>
      <c r="Q10" s="77"/>
      <c r="R10" s="89"/>
      <c r="S10" s="49">
        <v>0</v>
      </c>
      <c r="T10" s="49">
        <v>1</v>
      </c>
      <c r="U10" s="50">
        <v>0</v>
      </c>
      <c r="V10" s="50">
        <v>0.010762</v>
      </c>
      <c r="W10" s="50">
        <v>0</v>
      </c>
      <c r="X10" s="50">
        <v>0.004138</v>
      </c>
      <c r="Y10" s="50">
        <v>0</v>
      </c>
      <c r="Z10" s="50">
        <v>0</v>
      </c>
      <c r="AA10" s="72">
        <v>10</v>
      </c>
      <c r="AB10" s="72"/>
      <c r="AC10" s="73"/>
      <c r="AD10" s="80" t="s">
        <v>856</v>
      </c>
      <c r="AE10" s="80"/>
      <c r="AF10" s="80"/>
      <c r="AG10" s="80"/>
      <c r="AH10" s="80"/>
      <c r="AI10" s="80"/>
      <c r="AJ10" s="87">
        <v>39116.7253125</v>
      </c>
      <c r="AK10" s="85" t="str">
        <f>HYPERLINK("https://yt3.ggpht.com/ytc/AKedOLT2xDo3s2oRrPkjE8HTJIFm0kK7rU6h9zvEdGt3=s88-c-k-c0x00ffffff-no-rj")</f>
        <v>https://yt3.ggpht.com/ytc/AKedOLT2xDo3s2oRrPkjE8HTJIFm0kK7rU6h9zvEdGt3=s88-c-k-c0x00ffffff-no-rj</v>
      </c>
      <c r="AL10" s="80">
        <v>7050</v>
      </c>
      <c r="AM10" s="80">
        <v>0</v>
      </c>
      <c r="AN10" s="80">
        <v>27</v>
      </c>
      <c r="AO10" s="80" t="b">
        <v>0</v>
      </c>
      <c r="AP10" s="80">
        <v>24</v>
      </c>
      <c r="AQ10" s="80"/>
      <c r="AR10" s="80"/>
      <c r="AS10" s="80" t="s">
        <v>1376</v>
      </c>
      <c r="AT10" s="85" t="str">
        <f>HYPERLINK("https://www.youtube.com/channel/UCwmXhkHeZ7EbApGCHtpuAlg")</f>
        <v>https://www.youtube.com/channel/UCwmXhkHeZ7EbApGCHtpuAlg</v>
      </c>
      <c r="AU10" s="80" t="str">
        <f>REPLACE(INDEX(GroupVertices[Group],MATCH(Vertices[[#This Row],[Vertex]],GroupVertices[Vertex],0)),1,1,"")</f>
        <v>11</v>
      </c>
      <c r="AV10" s="49">
        <v>0</v>
      </c>
      <c r="AW10" s="50">
        <v>0</v>
      </c>
      <c r="AX10" s="49">
        <v>0</v>
      </c>
      <c r="AY10" s="50">
        <v>0</v>
      </c>
      <c r="AZ10" s="49">
        <v>0</v>
      </c>
      <c r="BA10" s="50">
        <v>0</v>
      </c>
      <c r="BB10" s="49">
        <v>5</v>
      </c>
      <c r="BC10" s="50">
        <v>100</v>
      </c>
      <c r="BD10" s="49">
        <v>5</v>
      </c>
      <c r="BE10" s="49"/>
      <c r="BF10" s="49"/>
      <c r="BG10" s="49"/>
      <c r="BH10" s="49"/>
      <c r="BI10" s="49"/>
      <c r="BJ10" s="49"/>
      <c r="BK10" s="111" t="s">
        <v>2361</v>
      </c>
      <c r="BL10" s="111" t="s">
        <v>2361</v>
      </c>
      <c r="BM10" s="111" t="s">
        <v>2552</v>
      </c>
      <c r="BN10" s="111" t="s">
        <v>2552</v>
      </c>
      <c r="BO10" s="2"/>
      <c r="BP10" s="3"/>
      <c r="BQ10" s="3"/>
      <c r="BR10" s="3"/>
      <c r="BS10" s="3"/>
    </row>
    <row r="11" spans="1:71" ht="15">
      <c r="A11" s="65" t="s">
        <v>344</v>
      </c>
      <c r="B11" s="66"/>
      <c r="C11" s="66"/>
      <c r="D11" s="67">
        <v>158.1417624521073</v>
      </c>
      <c r="E11" s="69"/>
      <c r="F11" s="103" t="str">
        <f>HYPERLINK("https://yt3.ggpht.com/ytc/AKedOLSL5vzlXclXLhdwE78qNIGbUp8XeRvE_wdkeOX_EQ=s88-c-k-c0x00ffffff-no-rj")</f>
        <v>https://yt3.ggpht.com/ytc/AKedOLSL5vzlXclXLhdwE78qNIGbUp8XeRvE_wdkeOX_EQ=s88-c-k-c0x00ffffff-no-rj</v>
      </c>
      <c r="G11" s="66"/>
      <c r="H11" s="70" t="s">
        <v>857</v>
      </c>
      <c r="I11" s="71"/>
      <c r="J11" s="71" t="s">
        <v>75</v>
      </c>
      <c r="K11" s="70" t="s">
        <v>857</v>
      </c>
      <c r="L11" s="74">
        <v>8.211396285214608</v>
      </c>
      <c r="M11" s="75">
        <v>9487.80859375</v>
      </c>
      <c r="N11" s="75">
        <v>5908.45458984375</v>
      </c>
      <c r="O11" s="76"/>
      <c r="P11" s="77"/>
      <c r="Q11" s="77"/>
      <c r="R11" s="89"/>
      <c r="S11" s="49">
        <v>1</v>
      </c>
      <c r="T11" s="49">
        <v>1</v>
      </c>
      <c r="U11" s="50">
        <v>10</v>
      </c>
      <c r="V11" s="50">
        <v>0.016143</v>
      </c>
      <c r="W11" s="50">
        <v>0</v>
      </c>
      <c r="X11" s="50">
        <v>0.004582</v>
      </c>
      <c r="Y11" s="50">
        <v>0</v>
      </c>
      <c r="Z11" s="50">
        <v>0</v>
      </c>
      <c r="AA11" s="72">
        <v>11</v>
      </c>
      <c r="AB11" s="72"/>
      <c r="AC11" s="73"/>
      <c r="AD11" s="80" t="s">
        <v>857</v>
      </c>
      <c r="AE11" s="80"/>
      <c r="AF11" s="80"/>
      <c r="AG11" s="80"/>
      <c r="AH11" s="80"/>
      <c r="AI11" s="80"/>
      <c r="AJ11" s="87">
        <v>40819.55979166667</v>
      </c>
      <c r="AK11" s="85" t="str">
        <f>HYPERLINK("https://yt3.ggpht.com/ytc/AKedOLSL5vzlXclXLhdwE78qNIGbUp8XeRvE_wdkeOX_EQ=s88-c-k-c0x00ffffff-no-rj")</f>
        <v>https://yt3.ggpht.com/ytc/AKedOLSL5vzlXclXLhdwE78qNIGbUp8XeRvE_wdkeOX_EQ=s88-c-k-c0x00ffffff-no-rj</v>
      </c>
      <c r="AL11" s="80">
        <v>365</v>
      </c>
      <c r="AM11" s="80">
        <v>0</v>
      </c>
      <c r="AN11" s="80">
        <v>3</v>
      </c>
      <c r="AO11" s="80" t="b">
        <v>0</v>
      </c>
      <c r="AP11" s="80">
        <v>3</v>
      </c>
      <c r="AQ11" s="80"/>
      <c r="AR11" s="80"/>
      <c r="AS11" s="80" t="s">
        <v>1376</v>
      </c>
      <c r="AT11" s="85" t="str">
        <f>HYPERLINK("https://www.youtube.com/channel/UCl9gn5ZSJFQ33S_h1D8lGlg")</f>
        <v>https://www.youtube.com/channel/UCl9gn5ZSJFQ33S_h1D8lGlg</v>
      </c>
      <c r="AU11" s="80" t="str">
        <f>REPLACE(INDEX(GroupVertices[Group],MATCH(Vertices[[#This Row],[Vertex]],GroupVertices[Vertex],0)),1,1,"")</f>
        <v>11</v>
      </c>
      <c r="AV11" s="49">
        <v>0</v>
      </c>
      <c r="AW11" s="50">
        <v>0</v>
      </c>
      <c r="AX11" s="49">
        <v>0</v>
      </c>
      <c r="AY11" s="50">
        <v>0</v>
      </c>
      <c r="AZ11" s="49">
        <v>0</v>
      </c>
      <c r="BA11" s="50">
        <v>0</v>
      </c>
      <c r="BB11" s="49">
        <v>9</v>
      </c>
      <c r="BC11" s="50">
        <v>100</v>
      </c>
      <c r="BD11" s="49">
        <v>9</v>
      </c>
      <c r="BE11" s="49"/>
      <c r="BF11" s="49"/>
      <c r="BG11" s="49"/>
      <c r="BH11" s="49"/>
      <c r="BI11" s="49"/>
      <c r="BJ11" s="49"/>
      <c r="BK11" s="111" t="s">
        <v>2362</v>
      </c>
      <c r="BL11" s="111" t="s">
        <v>2362</v>
      </c>
      <c r="BM11" s="111" t="s">
        <v>2553</v>
      </c>
      <c r="BN11" s="111" t="s">
        <v>2553</v>
      </c>
      <c r="BO11" s="2"/>
      <c r="BP11" s="3"/>
      <c r="BQ11" s="3"/>
      <c r="BR11" s="3"/>
      <c r="BS11" s="3"/>
    </row>
    <row r="12" spans="1:71" ht="15">
      <c r="A12" s="65" t="s">
        <v>345</v>
      </c>
      <c r="B12" s="66"/>
      <c r="C12" s="66"/>
      <c r="D12" s="67">
        <v>150</v>
      </c>
      <c r="E12" s="69"/>
      <c r="F12" s="103" t="str">
        <f>HYPERLINK("https://yt3.ggpht.com/ytc/AKedOLQ1SV1I-21N89k5NSNRwdmYkGNPTpMKzmIIvzFU=s88-c-k-c0x00ffffff-no-rj")</f>
        <v>https://yt3.ggpht.com/ytc/AKedOLQ1SV1I-21N89k5NSNRwdmYkGNPTpMKzmIIvzFU=s88-c-k-c0x00ffffff-no-rj</v>
      </c>
      <c r="G12" s="66"/>
      <c r="H12" s="70" t="s">
        <v>858</v>
      </c>
      <c r="I12" s="71"/>
      <c r="J12" s="71" t="s">
        <v>159</v>
      </c>
      <c r="K12" s="70" t="s">
        <v>858</v>
      </c>
      <c r="L12" s="74">
        <v>1</v>
      </c>
      <c r="M12" s="75">
        <v>4026.4521484375</v>
      </c>
      <c r="N12" s="75">
        <v>1133.5787353515625</v>
      </c>
      <c r="O12" s="76"/>
      <c r="P12" s="77"/>
      <c r="Q12" s="77"/>
      <c r="R12" s="89"/>
      <c r="S12" s="49">
        <v>0</v>
      </c>
      <c r="T12" s="49">
        <v>1</v>
      </c>
      <c r="U12" s="50">
        <v>0</v>
      </c>
      <c r="V12" s="50">
        <v>0.163648</v>
      </c>
      <c r="W12" s="50">
        <v>0.012051</v>
      </c>
      <c r="X12" s="50">
        <v>0.003904</v>
      </c>
      <c r="Y12" s="50">
        <v>0</v>
      </c>
      <c r="Z12" s="50">
        <v>0</v>
      </c>
      <c r="AA12" s="72">
        <v>12</v>
      </c>
      <c r="AB12" s="72"/>
      <c r="AC12" s="73"/>
      <c r="AD12" s="80" t="s">
        <v>858</v>
      </c>
      <c r="AE12" s="80"/>
      <c r="AF12" s="80"/>
      <c r="AG12" s="80"/>
      <c r="AH12" s="80"/>
      <c r="AI12" s="80"/>
      <c r="AJ12" s="87">
        <v>39216.73412037037</v>
      </c>
      <c r="AK12" s="85" t="str">
        <f>HYPERLINK("https://yt3.ggpht.com/ytc/AKedOLQ1SV1I-21N89k5NSNRwdmYkGNPTpMKzmIIvzFU=s88-c-k-c0x00ffffff-no-rj")</f>
        <v>https://yt3.ggpht.com/ytc/AKedOLQ1SV1I-21N89k5NSNRwdmYkGNPTpMKzmIIvzFU=s88-c-k-c0x00ffffff-no-rj</v>
      </c>
      <c r="AL12" s="80">
        <v>0</v>
      </c>
      <c r="AM12" s="80">
        <v>0</v>
      </c>
      <c r="AN12" s="80">
        <v>1</v>
      </c>
      <c r="AO12" s="80" t="b">
        <v>0</v>
      </c>
      <c r="AP12" s="80">
        <v>0</v>
      </c>
      <c r="AQ12" s="80"/>
      <c r="AR12" s="80"/>
      <c r="AS12" s="80" t="s">
        <v>1376</v>
      </c>
      <c r="AT12" s="85" t="str">
        <f>HYPERLINK("https://www.youtube.com/channel/UCXBDxpU7E1QT0J1nS-BGnQg")</f>
        <v>https://www.youtube.com/channel/UCXBDxpU7E1QT0J1nS-BGnQg</v>
      </c>
      <c r="AU12" s="80" t="str">
        <f>REPLACE(INDEX(GroupVertices[Group],MATCH(Vertices[[#This Row],[Vertex]],GroupVertices[Vertex],0)),1,1,"")</f>
        <v>6</v>
      </c>
      <c r="AV12" s="49">
        <v>1</v>
      </c>
      <c r="AW12" s="50">
        <v>7.6923076923076925</v>
      </c>
      <c r="AX12" s="49">
        <v>0</v>
      </c>
      <c r="AY12" s="50">
        <v>0</v>
      </c>
      <c r="AZ12" s="49">
        <v>0</v>
      </c>
      <c r="BA12" s="50">
        <v>0</v>
      </c>
      <c r="BB12" s="49">
        <v>12</v>
      </c>
      <c r="BC12" s="50">
        <v>92.3076923076923</v>
      </c>
      <c r="BD12" s="49">
        <v>13</v>
      </c>
      <c r="BE12" s="49"/>
      <c r="BF12" s="49"/>
      <c r="BG12" s="49"/>
      <c r="BH12" s="49"/>
      <c r="BI12" s="49"/>
      <c r="BJ12" s="49"/>
      <c r="BK12" s="111" t="s">
        <v>2363</v>
      </c>
      <c r="BL12" s="111" t="s">
        <v>2363</v>
      </c>
      <c r="BM12" s="111" t="s">
        <v>2554</v>
      </c>
      <c r="BN12" s="111" t="s">
        <v>2554</v>
      </c>
      <c r="BO12" s="2"/>
      <c r="BP12" s="3"/>
      <c r="BQ12" s="3"/>
      <c r="BR12" s="3"/>
      <c r="BS12" s="3"/>
    </row>
    <row r="13" spans="1:71" ht="15">
      <c r="A13" s="65" t="s">
        <v>450</v>
      </c>
      <c r="B13" s="66"/>
      <c r="C13" s="66"/>
      <c r="D13" s="67">
        <v>1000</v>
      </c>
      <c r="E13" s="69"/>
      <c r="F13" s="103" t="str">
        <f>HYPERLINK("https://yt3.ggpht.com/ytc/AKedOLQGN7GiuIYDVFE70oJPNxOALdFbpMcmZFpQ2QQWnw=s88-c-k-c0x00ffffff-no-rj")</f>
        <v>https://yt3.ggpht.com/ytc/AKedOLQGN7GiuIYDVFE70oJPNxOALdFbpMcmZFpQ2QQWnw=s88-c-k-c0x00ffffff-no-rj</v>
      </c>
      <c r="G13" s="66"/>
      <c r="H13" s="70" t="s">
        <v>963</v>
      </c>
      <c r="I13" s="71"/>
      <c r="J13" s="71" t="s">
        <v>75</v>
      </c>
      <c r="K13" s="70" t="s">
        <v>963</v>
      </c>
      <c r="L13" s="74">
        <v>2463.691831400789</v>
      </c>
      <c r="M13" s="75">
        <v>4783.5966796875</v>
      </c>
      <c r="N13" s="75">
        <v>1464.0726318359375</v>
      </c>
      <c r="O13" s="76"/>
      <c r="P13" s="77"/>
      <c r="Q13" s="77"/>
      <c r="R13" s="89"/>
      <c r="S13" s="49">
        <v>8</v>
      </c>
      <c r="T13" s="49">
        <v>5</v>
      </c>
      <c r="U13" s="50">
        <v>3415</v>
      </c>
      <c r="V13" s="50">
        <v>0.22751</v>
      </c>
      <c r="W13" s="50">
        <v>0.10735</v>
      </c>
      <c r="X13" s="50">
        <v>0.00799</v>
      </c>
      <c r="Y13" s="50">
        <v>0</v>
      </c>
      <c r="Z13" s="50">
        <v>0.1</v>
      </c>
      <c r="AA13" s="72">
        <v>13</v>
      </c>
      <c r="AB13" s="72"/>
      <c r="AC13" s="73"/>
      <c r="AD13" s="80" t="s">
        <v>963</v>
      </c>
      <c r="AE13" s="80"/>
      <c r="AF13" s="80"/>
      <c r="AG13" s="80"/>
      <c r="AH13" s="80"/>
      <c r="AI13" s="80" t="s">
        <v>1342</v>
      </c>
      <c r="AJ13" s="87">
        <v>39800.103483796294</v>
      </c>
      <c r="AK13" s="85" t="str">
        <f>HYPERLINK("https://yt3.ggpht.com/ytc/AKedOLQGN7GiuIYDVFE70oJPNxOALdFbpMcmZFpQ2QQWnw=s88-c-k-c0x00ffffff-no-rj")</f>
        <v>https://yt3.ggpht.com/ytc/AKedOLQGN7GiuIYDVFE70oJPNxOALdFbpMcmZFpQ2QQWnw=s88-c-k-c0x00ffffff-no-rj</v>
      </c>
      <c r="AL13" s="80">
        <v>57181</v>
      </c>
      <c r="AM13" s="80">
        <v>0</v>
      </c>
      <c r="AN13" s="80">
        <v>276</v>
      </c>
      <c r="AO13" s="80" t="b">
        <v>0</v>
      </c>
      <c r="AP13" s="80">
        <v>19</v>
      </c>
      <c r="AQ13" s="80"/>
      <c r="AR13" s="80"/>
      <c r="AS13" s="80" t="s">
        <v>1376</v>
      </c>
      <c r="AT13" s="85" t="str">
        <f>HYPERLINK("https://www.youtube.com/channel/UCOQy7XDYjkjhb0QwVMwf-7A")</f>
        <v>https://www.youtube.com/channel/UCOQy7XDYjkjhb0QwVMwf-7A</v>
      </c>
      <c r="AU13" s="80" t="str">
        <f>REPLACE(INDEX(GroupVertices[Group],MATCH(Vertices[[#This Row],[Vertex]],GroupVertices[Vertex],0)),1,1,"")</f>
        <v>6</v>
      </c>
      <c r="AV13" s="49">
        <v>4</v>
      </c>
      <c r="AW13" s="50">
        <v>2.380952380952381</v>
      </c>
      <c r="AX13" s="49">
        <v>1</v>
      </c>
      <c r="AY13" s="50">
        <v>0.5952380952380952</v>
      </c>
      <c r="AZ13" s="49">
        <v>0</v>
      </c>
      <c r="BA13" s="50">
        <v>0</v>
      </c>
      <c r="BB13" s="49">
        <v>163</v>
      </c>
      <c r="BC13" s="50">
        <v>97.02380952380952</v>
      </c>
      <c r="BD13" s="49">
        <v>168</v>
      </c>
      <c r="BE13" s="49"/>
      <c r="BF13" s="49"/>
      <c r="BG13" s="49"/>
      <c r="BH13" s="49"/>
      <c r="BI13" s="49"/>
      <c r="BJ13" s="49"/>
      <c r="BK13" s="111" t="s">
        <v>2364</v>
      </c>
      <c r="BL13" s="111" t="s">
        <v>2521</v>
      </c>
      <c r="BM13" s="111" t="s">
        <v>2555</v>
      </c>
      <c r="BN13" s="111" t="s">
        <v>2555</v>
      </c>
      <c r="BO13" s="2"/>
      <c r="BP13" s="3"/>
      <c r="BQ13" s="3"/>
      <c r="BR13" s="3"/>
      <c r="BS13" s="3"/>
    </row>
    <row r="14" spans="1:71" ht="15">
      <c r="A14" s="65" t="s">
        <v>346</v>
      </c>
      <c r="B14" s="66"/>
      <c r="C14" s="66"/>
      <c r="D14" s="67">
        <v>150</v>
      </c>
      <c r="E14" s="69"/>
      <c r="F14" s="103" t="str">
        <f>HYPERLINK("https://yt3.ggpht.com/ytc/AKedOLS9cdQFmLTc50LERWAq_OdLLZ-d9kVm2NODWREZ=s88-c-k-c0x00ffffff-no-rj")</f>
        <v>https://yt3.ggpht.com/ytc/AKedOLS9cdQFmLTc50LERWAq_OdLLZ-d9kVm2NODWREZ=s88-c-k-c0x00ffffff-no-rj</v>
      </c>
      <c r="G14" s="66"/>
      <c r="H14" s="70" t="s">
        <v>859</v>
      </c>
      <c r="I14" s="71"/>
      <c r="J14" s="71" t="s">
        <v>159</v>
      </c>
      <c r="K14" s="70" t="s">
        <v>859</v>
      </c>
      <c r="L14" s="74">
        <v>1</v>
      </c>
      <c r="M14" s="75">
        <v>6551.892578125</v>
      </c>
      <c r="N14" s="75">
        <v>1293.98828125</v>
      </c>
      <c r="O14" s="76"/>
      <c r="P14" s="77"/>
      <c r="Q14" s="77"/>
      <c r="R14" s="89"/>
      <c r="S14" s="49">
        <v>0</v>
      </c>
      <c r="T14" s="49">
        <v>1</v>
      </c>
      <c r="U14" s="50">
        <v>0</v>
      </c>
      <c r="V14" s="50">
        <v>0.008072</v>
      </c>
      <c r="W14" s="50">
        <v>0</v>
      </c>
      <c r="X14" s="50">
        <v>0.004013</v>
      </c>
      <c r="Y14" s="50">
        <v>0</v>
      </c>
      <c r="Z14" s="50">
        <v>0</v>
      </c>
      <c r="AA14" s="72">
        <v>14</v>
      </c>
      <c r="AB14" s="72"/>
      <c r="AC14" s="73"/>
      <c r="AD14" s="80" t="s">
        <v>859</v>
      </c>
      <c r="AE14" s="80"/>
      <c r="AF14" s="80"/>
      <c r="AG14" s="80"/>
      <c r="AH14" s="80"/>
      <c r="AI14" s="80"/>
      <c r="AJ14" s="87">
        <v>41103.93064814815</v>
      </c>
      <c r="AK14" s="85" t="str">
        <f>HYPERLINK("https://yt3.ggpht.com/ytc/AKedOLS9cdQFmLTc50LERWAq_OdLLZ-d9kVm2NODWREZ=s88-c-k-c0x00ffffff-no-rj")</f>
        <v>https://yt3.ggpht.com/ytc/AKedOLS9cdQFmLTc50LERWAq_OdLLZ-d9kVm2NODWREZ=s88-c-k-c0x00ffffff-no-rj</v>
      </c>
      <c r="AL14" s="80">
        <v>0</v>
      </c>
      <c r="AM14" s="80">
        <v>0</v>
      </c>
      <c r="AN14" s="80">
        <v>0</v>
      </c>
      <c r="AO14" s="80" t="b">
        <v>0</v>
      </c>
      <c r="AP14" s="80">
        <v>0</v>
      </c>
      <c r="AQ14" s="80"/>
      <c r="AR14" s="80"/>
      <c r="AS14" s="80" t="s">
        <v>1376</v>
      </c>
      <c r="AT14" s="85" t="str">
        <f>HYPERLINK("https://www.youtube.com/channel/UCSnr1NggLE8M63F61SbWGDw")</f>
        <v>https://www.youtube.com/channel/UCSnr1NggLE8M63F61SbWGDw</v>
      </c>
      <c r="AU14" s="80" t="str">
        <f>REPLACE(INDEX(GroupVertices[Group],MATCH(Vertices[[#This Row],[Vertex]],GroupVertices[Vertex],0)),1,1,"")</f>
        <v>14</v>
      </c>
      <c r="AV14" s="49">
        <v>0</v>
      </c>
      <c r="AW14" s="50">
        <v>0</v>
      </c>
      <c r="AX14" s="49">
        <v>0</v>
      </c>
      <c r="AY14" s="50">
        <v>0</v>
      </c>
      <c r="AZ14" s="49">
        <v>0</v>
      </c>
      <c r="BA14" s="50">
        <v>0</v>
      </c>
      <c r="BB14" s="49">
        <v>4</v>
      </c>
      <c r="BC14" s="50">
        <v>100</v>
      </c>
      <c r="BD14" s="49">
        <v>4</v>
      </c>
      <c r="BE14" s="49"/>
      <c r="BF14" s="49"/>
      <c r="BG14" s="49"/>
      <c r="BH14" s="49"/>
      <c r="BI14" s="49"/>
      <c r="BJ14" s="49"/>
      <c r="BK14" s="111" t="s">
        <v>1466</v>
      </c>
      <c r="BL14" s="111" t="s">
        <v>1466</v>
      </c>
      <c r="BM14" s="111" t="s">
        <v>1239</v>
      </c>
      <c r="BN14" s="111" t="s">
        <v>1239</v>
      </c>
      <c r="BO14" s="2"/>
      <c r="BP14" s="3"/>
      <c r="BQ14" s="3"/>
      <c r="BR14" s="3"/>
      <c r="BS14" s="3"/>
    </row>
    <row r="15" spans="1:71" ht="15">
      <c r="A15" s="65" t="s">
        <v>526</v>
      </c>
      <c r="B15" s="66"/>
      <c r="C15" s="66"/>
      <c r="D15" s="67">
        <v>154.88505747126436</v>
      </c>
      <c r="E15" s="69"/>
      <c r="F15" s="103" t="str">
        <f>HYPERLINK("https://yt3.ggpht.com/ytc/AKedOLQEkt7NKtvH0T3SXt9WuGYFhKYj7IjZnzqtx6PmYA=s88-c-k-c0x00ffffff-no-rj")</f>
        <v>https://yt3.ggpht.com/ytc/AKedOLQEkt7NKtvH0T3SXt9WuGYFhKYj7IjZnzqtx6PmYA=s88-c-k-c0x00ffffff-no-rj</v>
      </c>
      <c r="G15" s="66"/>
      <c r="H15" s="70" t="s">
        <v>1255</v>
      </c>
      <c r="I15" s="71"/>
      <c r="J15" s="71" t="s">
        <v>75</v>
      </c>
      <c r="K15" s="70" t="s">
        <v>1255</v>
      </c>
      <c r="L15" s="74">
        <v>5.3268377711287656</v>
      </c>
      <c r="M15" s="75">
        <v>6551.892578125</v>
      </c>
      <c r="N15" s="75">
        <v>529.3588256835938</v>
      </c>
      <c r="O15" s="76"/>
      <c r="P15" s="77"/>
      <c r="Q15" s="77"/>
      <c r="R15" s="89"/>
      <c r="S15" s="49">
        <v>4</v>
      </c>
      <c r="T15" s="49">
        <v>1</v>
      </c>
      <c r="U15" s="50">
        <v>6</v>
      </c>
      <c r="V15" s="50">
        <v>0.013453</v>
      </c>
      <c r="W15" s="50">
        <v>0</v>
      </c>
      <c r="X15" s="50">
        <v>0.005819</v>
      </c>
      <c r="Y15" s="50">
        <v>0</v>
      </c>
      <c r="Z15" s="50">
        <v>0</v>
      </c>
      <c r="AA15" s="72">
        <v>15</v>
      </c>
      <c r="AB15" s="72"/>
      <c r="AC15" s="73"/>
      <c r="AD15" s="80" t="s">
        <v>1255</v>
      </c>
      <c r="AE15" s="80"/>
      <c r="AF15" s="80"/>
      <c r="AG15" s="80"/>
      <c r="AH15" s="80"/>
      <c r="AI15" s="80"/>
      <c r="AJ15" s="87">
        <v>40883.471180555556</v>
      </c>
      <c r="AK15" s="85" t="str">
        <f>HYPERLINK("https://yt3.ggpht.com/ytc/AKedOLQEkt7NKtvH0T3SXt9WuGYFhKYj7IjZnzqtx6PmYA=s88-c-k-c0x00ffffff-no-rj")</f>
        <v>https://yt3.ggpht.com/ytc/AKedOLQEkt7NKtvH0T3SXt9WuGYFhKYj7IjZnzqtx6PmYA=s88-c-k-c0x00ffffff-no-rj</v>
      </c>
      <c r="AL15" s="80">
        <v>5550</v>
      </c>
      <c r="AM15" s="80">
        <v>0</v>
      </c>
      <c r="AN15" s="80">
        <v>11</v>
      </c>
      <c r="AO15" s="80" t="b">
        <v>0</v>
      </c>
      <c r="AP15" s="80">
        <v>2</v>
      </c>
      <c r="AQ15" s="80"/>
      <c r="AR15" s="80"/>
      <c r="AS15" s="80" t="s">
        <v>1376</v>
      </c>
      <c r="AT15" s="85" t="str">
        <f>HYPERLINK("https://www.youtube.com/channel/UC7roQpV6qEGtQqPL_d0KlHw")</f>
        <v>https://www.youtube.com/channel/UC7roQpV6qEGtQqPL_d0KlHw</v>
      </c>
      <c r="AU15" s="80" t="str">
        <f>REPLACE(INDEX(GroupVertices[Group],MATCH(Vertices[[#This Row],[Vertex]],GroupVertices[Vertex],0)),1,1,"")</f>
        <v>14</v>
      </c>
      <c r="AV15" s="49"/>
      <c r="AW15" s="50"/>
      <c r="AX15" s="49"/>
      <c r="AY15" s="50"/>
      <c r="AZ15" s="49"/>
      <c r="BA15" s="50"/>
      <c r="BB15" s="49"/>
      <c r="BC15" s="50"/>
      <c r="BD15" s="49"/>
      <c r="BE15" s="49"/>
      <c r="BF15" s="49"/>
      <c r="BG15" s="49"/>
      <c r="BH15" s="49"/>
      <c r="BI15" s="49"/>
      <c r="BJ15" s="49"/>
      <c r="BK15" s="111" t="s">
        <v>1239</v>
      </c>
      <c r="BL15" s="111" t="s">
        <v>1239</v>
      </c>
      <c r="BM15" s="111" t="s">
        <v>1239</v>
      </c>
      <c r="BN15" s="111" t="s">
        <v>1239</v>
      </c>
      <c r="BO15" s="2"/>
      <c r="BP15" s="3"/>
      <c r="BQ15" s="3"/>
      <c r="BR15" s="3"/>
      <c r="BS15" s="3"/>
    </row>
    <row r="16" spans="1:71" ht="15">
      <c r="A16" s="65" t="s">
        <v>347</v>
      </c>
      <c r="B16" s="66"/>
      <c r="C16" s="66"/>
      <c r="D16" s="67">
        <v>150</v>
      </c>
      <c r="E16" s="69"/>
      <c r="F16" s="103" t="str">
        <f>HYPERLINK("https://yt3.ggpht.com/ytc/AKedOLSWLfz5wsU23fgJn2jb8lJ0wbIso4_91ezTqA=s88-c-k-c0x00ffffff-no-rj")</f>
        <v>https://yt3.ggpht.com/ytc/AKedOLSWLfz5wsU23fgJn2jb8lJ0wbIso4_91ezTqA=s88-c-k-c0x00ffffff-no-rj</v>
      </c>
      <c r="G16" s="66"/>
      <c r="H16" s="70" t="s">
        <v>860</v>
      </c>
      <c r="I16" s="71"/>
      <c r="J16" s="71" t="s">
        <v>159</v>
      </c>
      <c r="K16" s="70" t="s">
        <v>860</v>
      </c>
      <c r="L16" s="74">
        <v>1</v>
      </c>
      <c r="M16" s="75">
        <v>6090.15478515625</v>
      </c>
      <c r="N16" s="75">
        <v>1293.98828125</v>
      </c>
      <c r="O16" s="76"/>
      <c r="P16" s="77"/>
      <c r="Q16" s="77"/>
      <c r="R16" s="89"/>
      <c r="S16" s="49">
        <v>0</v>
      </c>
      <c r="T16" s="49">
        <v>1</v>
      </c>
      <c r="U16" s="50">
        <v>0</v>
      </c>
      <c r="V16" s="50">
        <v>0.008072</v>
      </c>
      <c r="W16" s="50">
        <v>0</v>
      </c>
      <c r="X16" s="50">
        <v>0.004013</v>
      </c>
      <c r="Y16" s="50">
        <v>0</v>
      </c>
      <c r="Z16" s="50">
        <v>0</v>
      </c>
      <c r="AA16" s="72">
        <v>16</v>
      </c>
      <c r="AB16" s="72"/>
      <c r="AC16" s="73"/>
      <c r="AD16" s="80" t="s">
        <v>860</v>
      </c>
      <c r="AE16" s="80"/>
      <c r="AF16" s="80"/>
      <c r="AG16" s="80"/>
      <c r="AH16" s="80"/>
      <c r="AI16" s="80"/>
      <c r="AJ16" s="87">
        <v>41368.67732638889</v>
      </c>
      <c r="AK16" s="85" t="str">
        <f>HYPERLINK("https://yt3.ggpht.com/ytc/AKedOLSWLfz5wsU23fgJn2jb8lJ0wbIso4_91ezTqA=s88-c-k-c0x00ffffff-no-rj")</f>
        <v>https://yt3.ggpht.com/ytc/AKedOLSWLfz5wsU23fgJn2jb8lJ0wbIso4_91ezTqA=s88-c-k-c0x00ffffff-no-rj</v>
      </c>
      <c r="AL16" s="80">
        <v>0</v>
      </c>
      <c r="AM16" s="80">
        <v>0</v>
      </c>
      <c r="AN16" s="80">
        <v>4</v>
      </c>
      <c r="AO16" s="80" t="b">
        <v>0</v>
      </c>
      <c r="AP16" s="80">
        <v>0</v>
      </c>
      <c r="AQ16" s="80"/>
      <c r="AR16" s="80"/>
      <c r="AS16" s="80" t="s">
        <v>1376</v>
      </c>
      <c r="AT16" s="85" t="str">
        <f>HYPERLINK("https://www.youtube.com/channel/UCXxni4CYgsAp7QsUM71k2gQ")</f>
        <v>https://www.youtube.com/channel/UCXxni4CYgsAp7QsUM71k2gQ</v>
      </c>
      <c r="AU16" s="80" t="str">
        <f>REPLACE(INDEX(GroupVertices[Group],MATCH(Vertices[[#This Row],[Vertex]],GroupVertices[Vertex],0)),1,1,"")</f>
        <v>14</v>
      </c>
      <c r="AV16" s="49">
        <v>0</v>
      </c>
      <c r="AW16" s="50">
        <v>0</v>
      </c>
      <c r="AX16" s="49">
        <v>0</v>
      </c>
      <c r="AY16" s="50">
        <v>0</v>
      </c>
      <c r="AZ16" s="49">
        <v>0</v>
      </c>
      <c r="BA16" s="50">
        <v>0</v>
      </c>
      <c r="BB16" s="49">
        <v>14</v>
      </c>
      <c r="BC16" s="50">
        <v>100</v>
      </c>
      <c r="BD16" s="49">
        <v>14</v>
      </c>
      <c r="BE16" s="49"/>
      <c r="BF16" s="49"/>
      <c r="BG16" s="49"/>
      <c r="BH16" s="49"/>
      <c r="BI16" s="49"/>
      <c r="BJ16" s="49"/>
      <c r="BK16" s="111" t="s">
        <v>2365</v>
      </c>
      <c r="BL16" s="111" t="s">
        <v>2365</v>
      </c>
      <c r="BM16" s="111" t="s">
        <v>2556</v>
      </c>
      <c r="BN16" s="111" t="s">
        <v>2556</v>
      </c>
      <c r="BO16" s="2"/>
      <c r="BP16" s="3"/>
      <c r="BQ16" s="3"/>
      <c r="BR16" s="3"/>
      <c r="BS16" s="3"/>
    </row>
    <row r="17" spans="1:71" ht="15">
      <c r="A17" s="65" t="s">
        <v>348</v>
      </c>
      <c r="B17" s="66"/>
      <c r="C17" s="66"/>
      <c r="D17" s="67">
        <v>150</v>
      </c>
      <c r="E17" s="69"/>
      <c r="F17" s="103" t="str">
        <f>HYPERLINK("https://yt3.ggpht.com/ytc/AKedOLQNjTqs3wHly-wgUGcO6ig5axfwczlKlqKkPZg5bA=s88-c-k-c0x00ffffff-no-rj")</f>
        <v>https://yt3.ggpht.com/ytc/AKedOLQNjTqs3wHly-wgUGcO6ig5axfwczlKlqKkPZg5bA=s88-c-k-c0x00ffffff-no-rj</v>
      </c>
      <c r="G17" s="66"/>
      <c r="H17" s="70" t="s">
        <v>861</v>
      </c>
      <c r="I17" s="71"/>
      <c r="J17" s="71" t="s">
        <v>159</v>
      </c>
      <c r="K17" s="70" t="s">
        <v>861</v>
      </c>
      <c r="L17" s="74">
        <v>1</v>
      </c>
      <c r="M17" s="75">
        <v>6090.15478515625</v>
      </c>
      <c r="N17" s="75">
        <v>529.3588256835938</v>
      </c>
      <c r="O17" s="76"/>
      <c r="P17" s="77"/>
      <c r="Q17" s="77"/>
      <c r="R17" s="89"/>
      <c r="S17" s="49">
        <v>0</v>
      </c>
      <c r="T17" s="49">
        <v>1</v>
      </c>
      <c r="U17" s="50">
        <v>0</v>
      </c>
      <c r="V17" s="50">
        <v>0.008072</v>
      </c>
      <c r="W17" s="50">
        <v>0</v>
      </c>
      <c r="X17" s="50">
        <v>0.004013</v>
      </c>
      <c r="Y17" s="50">
        <v>0</v>
      </c>
      <c r="Z17" s="50">
        <v>0</v>
      </c>
      <c r="AA17" s="72">
        <v>17</v>
      </c>
      <c r="AB17" s="72"/>
      <c r="AC17" s="73"/>
      <c r="AD17" s="80" t="s">
        <v>861</v>
      </c>
      <c r="AE17" s="80" t="s">
        <v>1294</v>
      </c>
      <c r="AF17" s="80"/>
      <c r="AG17" s="80"/>
      <c r="AH17" s="80"/>
      <c r="AI17" s="80"/>
      <c r="AJ17" s="87">
        <v>41102.31019675926</v>
      </c>
      <c r="AK17" s="85" t="str">
        <f>HYPERLINK("https://yt3.ggpht.com/ytc/AKedOLQNjTqs3wHly-wgUGcO6ig5axfwczlKlqKkPZg5bA=s88-c-k-c0x00ffffff-no-rj")</f>
        <v>https://yt3.ggpht.com/ytc/AKedOLQNjTqs3wHly-wgUGcO6ig5axfwczlKlqKkPZg5bA=s88-c-k-c0x00ffffff-no-rj</v>
      </c>
      <c r="AL17" s="80">
        <v>217</v>
      </c>
      <c r="AM17" s="80">
        <v>0</v>
      </c>
      <c r="AN17" s="80">
        <v>2</v>
      </c>
      <c r="AO17" s="80" t="b">
        <v>0</v>
      </c>
      <c r="AP17" s="80">
        <v>6</v>
      </c>
      <c r="AQ17" s="80"/>
      <c r="AR17" s="80"/>
      <c r="AS17" s="80" t="s">
        <v>1376</v>
      </c>
      <c r="AT17" s="85" t="str">
        <f>HYPERLINK("https://www.youtube.com/channel/UCMjfNOw_F_QdVO_NcQ49hwA")</f>
        <v>https://www.youtube.com/channel/UCMjfNOw_F_QdVO_NcQ49hwA</v>
      </c>
      <c r="AU17" s="80" t="str">
        <f>REPLACE(INDEX(GroupVertices[Group],MATCH(Vertices[[#This Row],[Vertex]],GroupVertices[Vertex],0)),1,1,"")</f>
        <v>14</v>
      </c>
      <c r="AV17" s="49">
        <v>1</v>
      </c>
      <c r="AW17" s="50">
        <v>6.666666666666667</v>
      </c>
      <c r="AX17" s="49">
        <v>0</v>
      </c>
      <c r="AY17" s="50">
        <v>0</v>
      </c>
      <c r="AZ17" s="49">
        <v>0</v>
      </c>
      <c r="BA17" s="50">
        <v>0</v>
      </c>
      <c r="BB17" s="49">
        <v>14</v>
      </c>
      <c r="BC17" s="50">
        <v>93.33333333333333</v>
      </c>
      <c r="BD17" s="49">
        <v>15</v>
      </c>
      <c r="BE17" s="49"/>
      <c r="BF17" s="49"/>
      <c r="BG17" s="49"/>
      <c r="BH17" s="49"/>
      <c r="BI17" s="49"/>
      <c r="BJ17" s="49"/>
      <c r="BK17" s="111" t="s">
        <v>2366</v>
      </c>
      <c r="BL17" s="111" t="s">
        <v>2366</v>
      </c>
      <c r="BM17" s="111" t="s">
        <v>2557</v>
      </c>
      <c r="BN17" s="111" t="s">
        <v>2557</v>
      </c>
      <c r="BO17" s="2"/>
      <c r="BP17" s="3"/>
      <c r="BQ17" s="3"/>
      <c r="BR17" s="3"/>
      <c r="BS17" s="3"/>
    </row>
    <row r="18" spans="1:71" ht="15">
      <c r="A18" s="65" t="s">
        <v>349</v>
      </c>
      <c r="B18" s="66"/>
      <c r="C18" s="66"/>
      <c r="D18" s="67">
        <v>150</v>
      </c>
      <c r="E18" s="69"/>
      <c r="F18" s="103" t="str">
        <f>HYPERLINK("https://yt3.ggpht.com/ytc/AKedOLQOYxWUsSHslHFU8CNiiTkx0Zyh5t24qpxHInpCyQ=s88-c-k-c0x00ffffff-no-rj")</f>
        <v>https://yt3.ggpht.com/ytc/AKedOLQOYxWUsSHslHFU8CNiiTkx0Zyh5t24qpxHInpCyQ=s88-c-k-c0x00ffffff-no-rj</v>
      </c>
      <c r="G18" s="66"/>
      <c r="H18" s="70" t="s">
        <v>862</v>
      </c>
      <c r="I18" s="71"/>
      <c r="J18" s="71" t="s">
        <v>159</v>
      </c>
      <c r="K18" s="70" t="s">
        <v>862</v>
      </c>
      <c r="L18" s="74">
        <v>1</v>
      </c>
      <c r="M18" s="75">
        <v>8884.4619140625</v>
      </c>
      <c r="N18" s="75">
        <v>2804.866455078125</v>
      </c>
      <c r="O18" s="76"/>
      <c r="P18" s="77"/>
      <c r="Q18" s="77"/>
      <c r="R18" s="89"/>
      <c r="S18" s="49">
        <v>0</v>
      </c>
      <c r="T18" s="49">
        <v>1</v>
      </c>
      <c r="U18" s="50">
        <v>0</v>
      </c>
      <c r="V18" s="50">
        <v>0.004484</v>
      </c>
      <c r="W18" s="50">
        <v>0</v>
      </c>
      <c r="X18" s="50">
        <v>0.004153</v>
      </c>
      <c r="Y18" s="50">
        <v>0</v>
      </c>
      <c r="Z18" s="50">
        <v>0</v>
      </c>
      <c r="AA18" s="72">
        <v>18</v>
      </c>
      <c r="AB18" s="72"/>
      <c r="AC18" s="73"/>
      <c r="AD18" s="80" t="s">
        <v>862</v>
      </c>
      <c r="AE18" s="80" t="s">
        <v>1295</v>
      </c>
      <c r="AF18" s="80"/>
      <c r="AG18" s="80"/>
      <c r="AH18" s="80"/>
      <c r="AI18" s="80" t="s">
        <v>1343</v>
      </c>
      <c r="AJ18" s="87">
        <v>38893.49266203704</v>
      </c>
      <c r="AK18" s="85" t="str">
        <f>HYPERLINK("https://yt3.ggpht.com/ytc/AKedOLQOYxWUsSHslHFU8CNiiTkx0Zyh5t24qpxHInpCyQ=s88-c-k-c0x00ffffff-no-rj")</f>
        <v>https://yt3.ggpht.com/ytc/AKedOLQOYxWUsSHslHFU8CNiiTkx0Zyh5t24qpxHInpCyQ=s88-c-k-c0x00ffffff-no-rj</v>
      </c>
      <c r="AL18" s="80">
        <v>65966</v>
      </c>
      <c r="AM18" s="80">
        <v>0</v>
      </c>
      <c r="AN18" s="80">
        <v>122</v>
      </c>
      <c r="AO18" s="80" t="b">
        <v>0</v>
      </c>
      <c r="AP18" s="80">
        <v>699</v>
      </c>
      <c r="AQ18" s="80"/>
      <c r="AR18" s="80"/>
      <c r="AS18" s="80" t="s">
        <v>1376</v>
      </c>
      <c r="AT18" s="85" t="str">
        <f>HYPERLINK("https://www.youtube.com/channel/UCcqj5COuFHh1eHF0xdBQoig")</f>
        <v>https://www.youtube.com/channel/UCcqj5COuFHh1eHF0xdBQoig</v>
      </c>
      <c r="AU18" s="80" t="str">
        <f>REPLACE(INDEX(GroupVertices[Group],MATCH(Vertices[[#This Row],[Vertex]],GroupVertices[Vertex],0)),1,1,"")</f>
        <v>24</v>
      </c>
      <c r="AV18" s="49">
        <v>1</v>
      </c>
      <c r="AW18" s="50">
        <v>16.666666666666668</v>
      </c>
      <c r="AX18" s="49">
        <v>0</v>
      </c>
      <c r="AY18" s="50">
        <v>0</v>
      </c>
      <c r="AZ18" s="49">
        <v>0</v>
      </c>
      <c r="BA18" s="50">
        <v>0</v>
      </c>
      <c r="BB18" s="49">
        <v>5</v>
      </c>
      <c r="BC18" s="50">
        <v>83.33333333333333</v>
      </c>
      <c r="BD18" s="49">
        <v>6</v>
      </c>
      <c r="BE18" s="49"/>
      <c r="BF18" s="49"/>
      <c r="BG18" s="49"/>
      <c r="BH18" s="49"/>
      <c r="BI18" s="49"/>
      <c r="BJ18" s="49"/>
      <c r="BK18" s="111" t="s">
        <v>1619</v>
      </c>
      <c r="BL18" s="111" t="s">
        <v>1619</v>
      </c>
      <c r="BM18" s="111" t="s">
        <v>1239</v>
      </c>
      <c r="BN18" s="111" t="s">
        <v>1239</v>
      </c>
      <c r="BO18" s="2"/>
      <c r="BP18" s="3"/>
      <c r="BQ18" s="3"/>
      <c r="BR18" s="3"/>
      <c r="BS18" s="3"/>
    </row>
    <row r="19" spans="1:71" ht="15">
      <c r="A19" s="65" t="s">
        <v>529</v>
      </c>
      <c r="B19" s="66"/>
      <c r="C19" s="66"/>
      <c r="D19" s="67">
        <v>150</v>
      </c>
      <c r="E19" s="69"/>
      <c r="F19" s="103" t="str">
        <f>HYPERLINK("https://yt3.ggpht.com/ytc/AKedOLSVzna5wW5tymT37243bo2KCZ0j-914_HbvXL6-PZM=s88-c-k-c0x00ffffff-no-rj")</f>
        <v>https://yt3.ggpht.com/ytc/AKedOLSVzna5wW5tymT37243bo2KCZ0j-914_HbvXL6-PZM=s88-c-k-c0x00ffffff-no-rj</v>
      </c>
      <c r="G19" s="66"/>
      <c r="H19" s="70" t="s">
        <v>1256</v>
      </c>
      <c r="I19" s="71"/>
      <c r="J19" s="71" t="s">
        <v>159</v>
      </c>
      <c r="K19" s="70" t="s">
        <v>1256</v>
      </c>
      <c r="L19" s="74">
        <v>1</v>
      </c>
      <c r="M19" s="75">
        <v>8884.4619140625</v>
      </c>
      <c r="N19" s="75">
        <v>2268.155517578125</v>
      </c>
      <c r="O19" s="76"/>
      <c r="P19" s="77"/>
      <c r="Q19" s="77"/>
      <c r="R19" s="89"/>
      <c r="S19" s="49">
        <v>2</v>
      </c>
      <c r="T19" s="49">
        <v>1</v>
      </c>
      <c r="U19" s="50">
        <v>0</v>
      </c>
      <c r="V19" s="50">
        <v>0.004484</v>
      </c>
      <c r="W19" s="50">
        <v>0</v>
      </c>
      <c r="X19" s="50">
        <v>0.004776</v>
      </c>
      <c r="Y19" s="50">
        <v>0</v>
      </c>
      <c r="Z19" s="50">
        <v>0</v>
      </c>
      <c r="AA19" s="72">
        <v>19</v>
      </c>
      <c r="AB19" s="72"/>
      <c r="AC19" s="73"/>
      <c r="AD19" s="80" t="s">
        <v>1256</v>
      </c>
      <c r="AE19" s="80"/>
      <c r="AF19" s="80"/>
      <c r="AG19" s="80"/>
      <c r="AH19" s="80"/>
      <c r="AI19" s="80" t="s">
        <v>1344</v>
      </c>
      <c r="AJ19" s="87">
        <v>40816.56967592592</v>
      </c>
      <c r="AK19" s="85" t="str">
        <f>HYPERLINK("https://yt3.ggpht.com/ytc/AKedOLSVzna5wW5tymT37243bo2KCZ0j-914_HbvXL6-PZM=s88-c-k-c0x00ffffff-no-rj")</f>
        <v>https://yt3.ggpht.com/ytc/AKedOLSVzna5wW5tymT37243bo2KCZ0j-914_HbvXL6-PZM=s88-c-k-c0x00ffffff-no-rj</v>
      </c>
      <c r="AL19" s="80">
        <v>918</v>
      </c>
      <c r="AM19" s="80">
        <v>0</v>
      </c>
      <c r="AN19" s="80">
        <v>4</v>
      </c>
      <c r="AO19" s="80" t="b">
        <v>0</v>
      </c>
      <c r="AP19" s="80">
        <v>23</v>
      </c>
      <c r="AQ19" s="80"/>
      <c r="AR19" s="80"/>
      <c r="AS19" s="80" t="s">
        <v>1376</v>
      </c>
      <c r="AT19" s="85" t="str">
        <f>HYPERLINK("https://www.youtube.com/channel/UCv0vw-y0YIwqEbU305hhcFg")</f>
        <v>https://www.youtube.com/channel/UCv0vw-y0YIwqEbU305hhcFg</v>
      </c>
      <c r="AU19" s="80" t="str">
        <f>REPLACE(INDEX(GroupVertices[Group],MATCH(Vertices[[#This Row],[Vertex]],GroupVertices[Vertex],0)),1,1,"")</f>
        <v>24</v>
      </c>
      <c r="AV19" s="49"/>
      <c r="AW19" s="50"/>
      <c r="AX19" s="49"/>
      <c r="AY19" s="50"/>
      <c r="AZ19" s="49"/>
      <c r="BA19" s="50"/>
      <c r="BB19" s="49"/>
      <c r="BC19" s="50"/>
      <c r="BD19" s="49"/>
      <c r="BE19" s="49"/>
      <c r="BF19" s="49"/>
      <c r="BG19" s="49"/>
      <c r="BH19" s="49"/>
      <c r="BI19" s="49"/>
      <c r="BJ19" s="49"/>
      <c r="BK19" s="111" t="s">
        <v>1239</v>
      </c>
      <c r="BL19" s="111" t="s">
        <v>1239</v>
      </c>
      <c r="BM19" s="111" t="s">
        <v>1239</v>
      </c>
      <c r="BN19" s="111" t="s">
        <v>1239</v>
      </c>
      <c r="BO19" s="2"/>
      <c r="BP19" s="3"/>
      <c r="BQ19" s="3"/>
      <c r="BR19" s="3"/>
      <c r="BS19" s="3"/>
    </row>
    <row r="20" spans="1:71" ht="15">
      <c r="A20" s="65" t="s">
        <v>350</v>
      </c>
      <c r="B20" s="66"/>
      <c r="C20" s="66"/>
      <c r="D20" s="67">
        <v>150</v>
      </c>
      <c r="E20" s="69"/>
      <c r="F20" s="103" t="str">
        <f>HYPERLINK("https://yt3.ggpht.com/ytc/AKedOLQjlVSddkxrvfN3XJskt-_dQc1wfsGdg3j_hyfRZw=s88-c-k-c0x00ffffff-no-rj")</f>
        <v>https://yt3.ggpht.com/ytc/AKedOLQjlVSddkxrvfN3XJskt-_dQc1wfsGdg3j_hyfRZw=s88-c-k-c0x00ffffff-no-rj</v>
      </c>
      <c r="G20" s="66"/>
      <c r="H20" s="70" t="s">
        <v>863</v>
      </c>
      <c r="I20" s="71"/>
      <c r="J20" s="71" t="s">
        <v>159</v>
      </c>
      <c r="K20" s="70" t="s">
        <v>863</v>
      </c>
      <c r="L20" s="74">
        <v>1</v>
      </c>
      <c r="M20" s="75">
        <v>8109.59228515625</v>
      </c>
      <c r="N20" s="75">
        <v>2856.33203125</v>
      </c>
      <c r="O20" s="76"/>
      <c r="P20" s="77"/>
      <c r="Q20" s="77"/>
      <c r="R20" s="89"/>
      <c r="S20" s="49">
        <v>0</v>
      </c>
      <c r="T20" s="49">
        <v>1</v>
      </c>
      <c r="U20" s="50">
        <v>0</v>
      </c>
      <c r="V20" s="50">
        <v>0.004484</v>
      </c>
      <c r="W20" s="50">
        <v>0</v>
      </c>
      <c r="X20" s="50">
        <v>0.004153</v>
      </c>
      <c r="Y20" s="50">
        <v>0</v>
      </c>
      <c r="Z20" s="50">
        <v>0</v>
      </c>
      <c r="AA20" s="72">
        <v>20</v>
      </c>
      <c r="AB20" s="72"/>
      <c r="AC20" s="73"/>
      <c r="AD20" s="80" t="s">
        <v>863</v>
      </c>
      <c r="AE20" s="80"/>
      <c r="AF20" s="80"/>
      <c r="AG20" s="80"/>
      <c r="AH20" s="80"/>
      <c r="AI20" s="80"/>
      <c r="AJ20" s="87">
        <v>39185.938796296294</v>
      </c>
      <c r="AK20" s="85" t="str">
        <f>HYPERLINK("https://yt3.ggpht.com/ytc/AKedOLQjlVSddkxrvfN3XJskt-_dQc1wfsGdg3j_hyfRZw=s88-c-k-c0x00ffffff-no-rj")</f>
        <v>https://yt3.ggpht.com/ytc/AKedOLQjlVSddkxrvfN3XJskt-_dQc1wfsGdg3j_hyfRZw=s88-c-k-c0x00ffffff-no-rj</v>
      </c>
      <c r="AL20" s="80">
        <v>1537</v>
      </c>
      <c r="AM20" s="80">
        <v>0</v>
      </c>
      <c r="AN20" s="80">
        <v>17</v>
      </c>
      <c r="AO20" s="80" t="b">
        <v>0</v>
      </c>
      <c r="AP20" s="80">
        <v>7</v>
      </c>
      <c r="AQ20" s="80"/>
      <c r="AR20" s="80"/>
      <c r="AS20" s="80" t="s">
        <v>1376</v>
      </c>
      <c r="AT20" s="85" t="str">
        <f>HYPERLINK("https://www.youtube.com/channel/UCXpbkjiFlXTpSy3DnioAJjw")</f>
        <v>https://www.youtube.com/channel/UCXpbkjiFlXTpSy3DnioAJjw</v>
      </c>
      <c r="AU20" s="80" t="str">
        <f>REPLACE(INDEX(GroupVertices[Group],MATCH(Vertices[[#This Row],[Vertex]],GroupVertices[Vertex],0)),1,1,"")</f>
        <v>23</v>
      </c>
      <c r="AV20" s="49">
        <v>2</v>
      </c>
      <c r="AW20" s="50">
        <v>15.384615384615385</v>
      </c>
      <c r="AX20" s="49">
        <v>0</v>
      </c>
      <c r="AY20" s="50">
        <v>0</v>
      </c>
      <c r="AZ20" s="49">
        <v>0</v>
      </c>
      <c r="BA20" s="50">
        <v>0</v>
      </c>
      <c r="BB20" s="49">
        <v>11</v>
      </c>
      <c r="BC20" s="50">
        <v>84.61538461538461</v>
      </c>
      <c r="BD20" s="49">
        <v>13</v>
      </c>
      <c r="BE20" s="49"/>
      <c r="BF20" s="49"/>
      <c r="BG20" s="49"/>
      <c r="BH20" s="49"/>
      <c r="BI20" s="49"/>
      <c r="BJ20" s="49"/>
      <c r="BK20" s="111" t="s">
        <v>2367</v>
      </c>
      <c r="BL20" s="111" t="s">
        <v>2367</v>
      </c>
      <c r="BM20" s="111" t="s">
        <v>2558</v>
      </c>
      <c r="BN20" s="111" t="s">
        <v>2558</v>
      </c>
      <c r="BO20" s="2"/>
      <c r="BP20" s="3"/>
      <c r="BQ20" s="3"/>
      <c r="BR20" s="3"/>
      <c r="BS20" s="3"/>
    </row>
    <row r="21" spans="1:71" ht="15">
      <c r="A21" s="65" t="s">
        <v>531</v>
      </c>
      <c r="B21" s="66"/>
      <c r="C21" s="66"/>
      <c r="D21" s="67">
        <v>150</v>
      </c>
      <c r="E21" s="69"/>
      <c r="F21" s="103" t="str">
        <f>HYPERLINK("https://yt3.ggpht.com/ytc/AKedOLTbaB2jUcsI0z5w4epoTfKIh6HbDwb72_eNwZpB=s88-c-k-c0x00ffffff-no-rj")</f>
        <v>https://yt3.ggpht.com/ytc/AKedOLTbaB2jUcsI0z5w4epoTfKIh6HbDwb72_eNwZpB=s88-c-k-c0x00ffffff-no-rj</v>
      </c>
      <c r="G21" s="66"/>
      <c r="H21" s="70" t="s">
        <v>1257</v>
      </c>
      <c r="I21" s="71"/>
      <c r="J21" s="71" t="s">
        <v>159</v>
      </c>
      <c r="K21" s="70" t="s">
        <v>1257</v>
      </c>
      <c r="L21" s="74">
        <v>1</v>
      </c>
      <c r="M21" s="75">
        <v>8109.59228515625</v>
      </c>
      <c r="N21" s="75">
        <v>2422.5517578125</v>
      </c>
      <c r="O21" s="76"/>
      <c r="P21" s="77"/>
      <c r="Q21" s="77"/>
      <c r="R21" s="89"/>
      <c r="S21" s="49">
        <v>2</v>
      </c>
      <c r="T21" s="49">
        <v>1</v>
      </c>
      <c r="U21" s="50">
        <v>0</v>
      </c>
      <c r="V21" s="50">
        <v>0.004484</v>
      </c>
      <c r="W21" s="50">
        <v>0</v>
      </c>
      <c r="X21" s="50">
        <v>0.004776</v>
      </c>
      <c r="Y21" s="50">
        <v>0</v>
      </c>
      <c r="Z21" s="50">
        <v>0</v>
      </c>
      <c r="AA21" s="72">
        <v>21</v>
      </c>
      <c r="AB21" s="72"/>
      <c r="AC21" s="73"/>
      <c r="AD21" s="80" t="s">
        <v>1257</v>
      </c>
      <c r="AE21" s="80" t="s">
        <v>1296</v>
      </c>
      <c r="AF21" s="80"/>
      <c r="AG21" s="80"/>
      <c r="AH21" s="80"/>
      <c r="AI21" s="80"/>
      <c r="AJ21" s="87">
        <v>39689.701875</v>
      </c>
      <c r="AK21" s="85" t="str">
        <f>HYPERLINK("https://yt3.ggpht.com/ytc/AKedOLTbaB2jUcsI0z5w4epoTfKIh6HbDwb72_eNwZpB=s88-c-k-c0x00ffffff-no-rj")</f>
        <v>https://yt3.ggpht.com/ytc/AKedOLTbaB2jUcsI0z5w4epoTfKIh6HbDwb72_eNwZpB=s88-c-k-c0x00ffffff-no-rj</v>
      </c>
      <c r="AL21" s="80">
        <v>106307</v>
      </c>
      <c r="AM21" s="80">
        <v>0</v>
      </c>
      <c r="AN21" s="80">
        <v>277</v>
      </c>
      <c r="AO21" s="80" t="b">
        <v>0</v>
      </c>
      <c r="AP21" s="80">
        <v>50</v>
      </c>
      <c r="AQ21" s="80"/>
      <c r="AR21" s="80"/>
      <c r="AS21" s="80" t="s">
        <v>1376</v>
      </c>
      <c r="AT21" s="85" t="str">
        <f>HYPERLINK("https://www.youtube.com/channel/UCB_X37NbtJ8tXBrYj_4mEHg")</f>
        <v>https://www.youtube.com/channel/UCB_X37NbtJ8tXBrYj_4mEHg</v>
      </c>
      <c r="AU21" s="80" t="str">
        <f>REPLACE(INDEX(GroupVertices[Group],MATCH(Vertices[[#This Row],[Vertex]],GroupVertices[Vertex],0)),1,1,"")</f>
        <v>23</v>
      </c>
      <c r="AV21" s="49"/>
      <c r="AW21" s="50"/>
      <c r="AX21" s="49"/>
      <c r="AY21" s="50"/>
      <c r="AZ21" s="49"/>
      <c r="BA21" s="50"/>
      <c r="BB21" s="49"/>
      <c r="BC21" s="50"/>
      <c r="BD21" s="49"/>
      <c r="BE21" s="49"/>
      <c r="BF21" s="49"/>
      <c r="BG21" s="49"/>
      <c r="BH21" s="49"/>
      <c r="BI21" s="49"/>
      <c r="BJ21" s="49"/>
      <c r="BK21" s="111" t="s">
        <v>1239</v>
      </c>
      <c r="BL21" s="111" t="s">
        <v>1239</v>
      </c>
      <c r="BM21" s="111" t="s">
        <v>1239</v>
      </c>
      <c r="BN21" s="111" t="s">
        <v>1239</v>
      </c>
      <c r="BO21" s="2"/>
      <c r="BP21" s="3"/>
      <c r="BQ21" s="3"/>
      <c r="BR21" s="3"/>
      <c r="BS21" s="3"/>
    </row>
    <row r="22" spans="1:71" ht="15">
      <c r="A22" s="65" t="s">
        <v>351</v>
      </c>
      <c r="B22" s="66"/>
      <c r="C22" s="66"/>
      <c r="D22" s="67">
        <v>557.088122605364</v>
      </c>
      <c r="E22" s="69"/>
      <c r="F22" s="103" t="str">
        <f>HYPERLINK("https://yt3.ggpht.com/j2vWrbBkYRYp07LW6xwqiG8Yu0sa3_nxzXCrdBb2f9Aa2PqOwe5XkzJ2PMMCxTh9Yt9CSZ8zpg=s88-c-k-c0x00ffffff-no-rj")</f>
        <v>https://yt3.ggpht.com/j2vWrbBkYRYp07LW6xwqiG8Yu0sa3_nxzXCrdBb2f9Aa2PqOwe5XkzJ2PMMCxTh9Yt9CSZ8zpg=s88-c-k-c0x00ffffff-no-rj</v>
      </c>
      <c r="G22" s="66"/>
      <c r="H22" s="70" t="s">
        <v>864</v>
      </c>
      <c r="I22" s="71"/>
      <c r="J22" s="71" t="s">
        <v>75</v>
      </c>
      <c r="K22" s="70" t="s">
        <v>864</v>
      </c>
      <c r="L22" s="74">
        <v>361.5698142607304</v>
      </c>
      <c r="M22" s="75">
        <v>5356.47998046875</v>
      </c>
      <c r="N22" s="75">
        <v>8268.3505859375</v>
      </c>
      <c r="O22" s="76"/>
      <c r="P22" s="77"/>
      <c r="Q22" s="77"/>
      <c r="R22" s="89"/>
      <c r="S22" s="49">
        <v>4</v>
      </c>
      <c r="T22" s="49">
        <v>4</v>
      </c>
      <c r="U22" s="50">
        <v>500</v>
      </c>
      <c r="V22" s="50">
        <v>0.124788</v>
      </c>
      <c r="W22" s="50">
        <v>0.000674</v>
      </c>
      <c r="X22" s="50">
        <v>0.004937</v>
      </c>
      <c r="Y22" s="50">
        <v>0</v>
      </c>
      <c r="Z22" s="50">
        <v>1</v>
      </c>
      <c r="AA22" s="72">
        <v>22</v>
      </c>
      <c r="AB22" s="72"/>
      <c r="AC22" s="73"/>
      <c r="AD22" s="80" t="s">
        <v>864</v>
      </c>
      <c r="AE22" s="80" t="s">
        <v>1297</v>
      </c>
      <c r="AF22" s="80"/>
      <c r="AG22" s="80"/>
      <c r="AH22" s="80"/>
      <c r="AI22" s="80" t="s">
        <v>1345</v>
      </c>
      <c r="AJ22" s="87">
        <v>42660.42820601852</v>
      </c>
      <c r="AK22" s="85" t="str">
        <f>HYPERLINK("https://yt3.ggpht.com/j2vWrbBkYRYp07LW6xwqiG8Yu0sa3_nxzXCrdBb2f9Aa2PqOwe5XkzJ2PMMCxTh9Yt9CSZ8zpg=s88-c-k-c0x00ffffff-no-rj")</f>
        <v>https://yt3.ggpht.com/j2vWrbBkYRYp07LW6xwqiG8Yu0sa3_nxzXCrdBb2f9Aa2PqOwe5XkzJ2PMMCxTh9Yt9CSZ8zpg=s88-c-k-c0x00ffffff-no-rj</v>
      </c>
      <c r="AL22" s="80">
        <v>8014</v>
      </c>
      <c r="AM22" s="80">
        <v>0</v>
      </c>
      <c r="AN22" s="80">
        <v>0</v>
      </c>
      <c r="AO22" s="80" t="b">
        <v>1</v>
      </c>
      <c r="AP22" s="80">
        <v>201</v>
      </c>
      <c r="AQ22" s="80"/>
      <c r="AR22" s="80"/>
      <c r="AS22" s="80" t="s">
        <v>1376</v>
      </c>
      <c r="AT22" s="85" t="str">
        <f>HYPERLINK("https://www.youtube.com/channel/UCT2t7sQp0Qyi9dxuckjOWAw")</f>
        <v>https://www.youtube.com/channel/UCT2t7sQp0Qyi9dxuckjOWAw</v>
      </c>
      <c r="AU22" s="80" t="str">
        <f>REPLACE(INDEX(GroupVertices[Group],MATCH(Vertices[[#This Row],[Vertex]],GroupVertices[Vertex],0)),1,1,"")</f>
        <v>4</v>
      </c>
      <c r="AV22" s="49">
        <v>0</v>
      </c>
      <c r="AW22" s="50">
        <v>0</v>
      </c>
      <c r="AX22" s="49">
        <v>0</v>
      </c>
      <c r="AY22" s="50">
        <v>0</v>
      </c>
      <c r="AZ22" s="49">
        <v>0</v>
      </c>
      <c r="BA22" s="50">
        <v>0</v>
      </c>
      <c r="BB22" s="49">
        <v>140</v>
      </c>
      <c r="BC22" s="50">
        <v>100</v>
      </c>
      <c r="BD22" s="49">
        <v>140</v>
      </c>
      <c r="BE22" s="49" t="s">
        <v>2334</v>
      </c>
      <c r="BF22" s="49" t="s">
        <v>2334</v>
      </c>
      <c r="BG22" s="49" t="s">
        <v>2345</v>
      </c>
      <c r="BH22" s="49" t="s">
        <v>2350</v>
      </c>
      <c r="BI22" s="49"/>
      <c r="BJ22" s="49"/>
      <c r="BK22" s="111" t="s">
        <v>2368</v>
      </c>
      <c r="BL22" s="111" t="s">
        <v>2522</v>
      </c>
      <c r="BM22" s="111" t="s">
        <v>2559</v>
      </c>
      <c r="BN22" s="111" t="s">
        <v>2559</v>
      </c>
      <c r="BO22" s="2"/>
      <c r="BP22" s="3"/>
      <c r="BQ22" s="3"/>
      <c r="BR22" s="3"/>
      <c r="BS22" s="3"/>
    </row>
    <row r="23" spans="1:71" ht="15">
      <c r="A23" s="65" t="s">
        <v>352</v>
      </c>
      <c r="B23" s="66"/>
      <c r="C23" s="66"/>
      <c r="D23" s="67">
        <v>150</v>
      </c>
      <c r="E23" s="69"/>
      <c r="F23" s="103" t="str">
        <f>HYPERLINK("https://yt3.ggpht.com/ytc/AKedOLQyWEXCD47SeYkAnFK4pQkCzpdMIhPIHzGRULn06Ow=s88-c-k-c0x00ffffff-no-rj")</f>
        <v>https://yt3.ggpht.com/ytc/AKedOLQyWEXCD47SeYkAnFK4pQkCzpdMIhPIHzGRULn06Ow=s88-c-k-c0x00ffffff-no-rj</v>
      </c>
      <c r="G23" s="66"/>
      <c r="H23" s="70" t="s">
        <v>865</v>
      </c>
      <c r="I23" s="71"/>
      <c r="J23" s="71" t="s">
        <v>159</v>
      </c>
      <c r="K23" s="70" t="s">
        <v>865</v>
      </c>
      <c r="L23" s="74">
        <v>1</v>
      </c>
      <c r="M23" s="75">
        <v>5858.87939453125</v>
      </c>
      <c r="N23" s="75">
        <v>7975.59765625</v>
      </c>
      <c r="O23" s="76"/>
      <c r="P23" s="77"/>
      <c r="Q23" s="77"/>
      <c r="R23" s="89"/>
      <c r="S23" s="49">
        <v>1</v>
      </c>
      <c r="T23" s="49">
        <v>1</v>
      </c>
      <c r="U23" s="50">
        <v>0</v>
      </c>
      <c r="V23" s="50">
        <v>0.102787</v>
      </c>
      <c r="W23" s="50">
        <v>7.6E-05</v>
      </c>
      <c r="X23" s="50">
        <v>0.00398</v>
      </c>
      <c r="Y23" s="50">
        <v>0</v>
      </c>
      <c r="Z23" s="50">
        <v>1</v>
      </c>
      <c r="AA23" s="72">
        <v>23</v>
      </c>
      <c r="AB23" s="72"/>
      <c r="AC23" s="73"/>
      <c r="AD23" s="80" t="s">
        <v>865</v>
      </c>
      <c r="AE23" s="80" t="s">
        <v>1298</v>
      </c>
      <c r="AF23" s="80"/>
      <c r="AG23" s="80"/>
      <c r="AH23" s="80"/>
      <c r="AI23" s="80"/>
      <c r="AJ23" s="87">
        <v>42285.461863425924</v>
      </c>
      <c r="AK23" s="85" t="str">
        <f>HYPERLINK("https://yt3.ggpht.com/ytc/AKedOLQyWEXCD47SeYkAnFK4pQkCzpdMIhPIHzGRULn06Ow=s88-c-k-c0x00ffffff-no-rj")</f>
        <v>https://yt3.ggpht.com/ytc/AKedOLQyWEXCD47SeYkAnFK4pQkCzpdMIhPIHzGRULn06Ow=s88-c-k-c0x00ffffff-no-rj</v>
      </c>
      <c r="AL23" s="80">
        <v>17058</v>
      </c>
      <c r="AM23" s="80">
        <v>0</v>
      </c>
      <c r="AN23" s="80">
        <v>390</v>
      </c>
      <c r="AO23" s="80" t="b">
        <v>0</v>
      </c>
      <c r="AP23" s="80">
        <v>65</v>
      </c>
      <c r="AQ23" s="80"/>
      <c r="AR23" s="80"/>
      <c r="AS23" s="80" t="s">
        <v>1376</v>
      </c>
      <c r="AT23" s="85" t="str">
        <f>HYPERLINK("https://www.youtube.com/channel/UCUGm4MAV0xRkCWAIe34oHEA")</f>
        <v>https://www.youtube.com/channel/UCUGm4MAV0xRkCWAIe34oHEA</v>
      </c>
      <c r="AU23" s="80" t="str">
        <f>REPLACE(INDEX(GroupVertices[Group],MATCH(Vertices[[#This Row],[Vertex]],GroupVertices[Vertex],0)),1,1,"")</f>
        <v>4</v>
      </c>
      <c r="AV23" s="49">
        <v>0</v>
      </c>
      <c r="AW23" s="50">
        <v>0</v>
      </c>
      <c r="AX23" s="49">
        <v>0</v>
      </c>
      <c r="AY23" s="50">
        <v>0</v>
      </c>
      <c r="AZ23" s="49">
        <v>0</v>
      </c>
      <c r="BA23" s="50">
        <v>0</v>
      </c>
      <c r="BB23" s="49">
        <v>10</v>
      </c>
      <c r="BC23" s="50">
        <v>100</v>
      </c>
      <c r="BD23" s="49">
        <v>10</v>
      </c>
      <c r="BE23" s="49"/>
      <c r="BF23" s="49"/>
      <c r="BG23" s="49"/>
      <c r="BH23" s="49"/>
      <c r="BI23" s="49"/>
      <c r="BJ23" s="49"/>
      <c r="BK23" s="111" t="s">
        <v>2369</v>
      </c>
      <c r="BL23" s="111" t="s">
        <v>2369</v>
      </c>
      <c r="BM23" s="111" t="s">
        <v>2560</v>
      </c>
      <c r="BN23" s="111" t="s">
        <v>2560</v>
      </c>
      <c r="BO23" s="2"/>
      <c r="BP23" s="3"/>
      <c r="BQ23" s="3"/>
      <c r="BR23" s="3"/>
      <c r="BS23" s="3"/>
    </row>
    <row r="24" spans="1:71" ht="15">
      <c r="A24" s="65" t="s">
        <v>353</v>
      </c>
      <c r="B24" s="66"/>
      <c r="C24" s="66"/>
      <c r="D24" s="67">
        <v>151.62835249042146</v>
      </c>
      <c r="E24" s="69"/>
      <c r="F24" s="103" t="str">
        <f>HYPERLINK("https://yt3.ggpht.com/ytc/AKedOLRkkng5FQq0JBG1s111TGCYHHUS-1Ukw5ZMR8C8kZU=s88-c-k-c0x00ffffff-no-rj")</f>
        <v>https://yt3.ggpht.com/ytc/AKedOLRkkng5FQq0JBG1s111TGCYHHUS-1Ukw5ZMR8C8kZU=s88-c-k-c0x00ffffff-no-rj</v>
      </c>
      <c r="G24" s="66"/>
      <c r="H24" s="70" t="s">
        <v>866</v>
      </c>
      <c r="I24" s="71"/>
      <c r="J24" s="71" t="s">
        <v>75</v>
      </c>
      <c r="K24" s="70" t="s">
        <v>866</v>
      </c>
      <c r="L24" s="74">
        <v>2.4422792570429217</v>
      </c>
      <c r="M24" s="75">
        <v>9516.6337890625</v>
      </c>
      <c r="N24" s="75">
        <v>3918.923095703125</v>
      </c>
      <c r="O24" s="76"/>
      <c r="P24" s="77"/>
      <c r="Q24" s="77"/>
      <c r="R24" s="89"/>
      <c r="S24" s="49">
        <v>3</v>
      </c>
      <c r="T24" s="49">
        <v>3</v>
      </c>
      <c r="U24" s="50">
        <v>2</v>
      </c>
      <c r="V24" s="50">
        <v>0.008969</v>
      </c>
      <c r="W24" s="50">
        <v>0</v>
      </c>
      <c r="X24" s="50">
        <v>0.005276</v>
      </c>
      <c r="Y24" s="50">
        <v>0</v>
      </c>
      <c r="Z24" s="50">
        <v>1</v>
      </c>
      <c r="AA24" s="72">
        <v>24</v>
      </c>
      <c r="AB24" s="72"/>
      <c r="AC24" s="73"/>
      <c r="AD24" s="80" t="s">
        <v>866</v>
      </c>
      <c r="AE24" s="80"/>
      <c r="AF24" s="80"/>
      <c r="AG24" s="80"/>
      <c r="AH24" s="80"/>
      <c r="AI24" s="80" t="s">
        <v>1346</v>
      </c>
      <c r="AJ24" s="87">
        <v>39384.88099537037</v>
      </c>
      <c r="AK24" s="85" t="str">
        <f>HYPERLINK("https://yt3.ggpht.com/ytc/AKedOLRkkng5FQq0JBG1s111TGCYHHUS-1Ukw5ZMR8C8kZU=s88-c-k-c0x00ffffff-no-rj")</f>
        <v>https://yt3.ggpht.com/ytc/AKedOLRkkng5FQq0JBG1s111TGCYHHUS-1Ukw5ZMR8C8kZU=s88-c-k-c0x00ffffff-no-rj</v>
      </c>
      <c r="AL24" s="80">
        <v>1431</v>
      </c>
      <c r="AM24" s="80">
        <v>0</v>
      </c>
      <c r="AN24" s="80">
        <v>11</v>
      </c>
      <c r="AO24" s="80" t="b">
        <v>0</v>
      </c>
      <c r="AP24" s="80">
        <v>5</v>
      </c>
      <c r="AQ24" s="80"/>
      <c r="AR24" s="80"/>
      <c r="AS24" s="80" t="s">
        <v>1376</v>
      </c>
      <c r="AT24" s="85" t="str">
        <f>HYPERLINK("https://www.youtube.com/channel/UCfYrvWfah8SKHvX-fQ_oLWQ")</f>
        <v>https://www.youtube.com/channel/UCfYrvWfah8SKHvX-fQ_oLWQ</v>
      </c>
      <c r="AU24" s="80" t="str">
        <f>REPLACE(INDEX(GroupVertices[Group],MATCH(Vertices[[#This Row],[Vertex]],GroupVertices[Vertex],0)),1,1,"")</f>
        <v>17</v>
      </c>
      <c r="AV24" s="49">
        <v>4</v>
      </c>
      <c r="AW24" s="50">
        <v>0.8547008547008547</v>
      </c>
      <c r="AX24" s="49">
        <v>2</v>
      </c>
      <c r="AY24" s="50">
        <v>0.42735042735042733</v>
      </c>
      <c r="AZ24" s="49">
        <v>0</v>
      </c>
      <c r="BA24" s="50">
        <v>0</v>
      </c>
      <c r="BB24" s="49">
        <v>462</v>
      </c>
      <c r="BC24" s="50">
        <v>98.71794871794872</v>
      </c>
      <c r="BD24" s="49">
        <v>468</v>
      </c>
      <c r="BE24" s="49" t="s">
        <v>2335</v>
      </c>
      <c r="BF24" s="49" t="s">
        <v>2335</v>
      </c>
      <c r="BG24" s="49" t="s">
        <v>2346</v>
      </c>
      <c r="BH24" s="49" t="s">
        <v>2351</v>
      </c>
      <c r="BI24" s="49"/>
      <c r="BJ24" s="49"/>
      <c r="BK24" s="111" t="s">
        <v>2370</v>
      </c>
      <c r="BL24" s="111" t="s">
        <v>2523</v>
      </c>
      <c r="BM24" s="111" t="s">
        <v>2561</v>
      </c>
      <c r="BN24" s="111" t="s">
        <v>2708</v>
      </c>
      <c r="BO24" s="2"/>
      <c r="BP24" s="3"/>
      <c r="BQ24" s="3"/>
      <c r="BR24" s="3"/>
      <c r="BS24" s="3"/>
    </row>
    <row r="25" spans="1:71" ht="15">
      <c r="A25" s="65" t="s">
        <v>354</v>
      </c>
      <c r="B25" s="66"/>
      <c r="C25" s="66"/>
      <c r="D25" s="67">
        <v>150</v>
      </c>
      <c r="E25" s="69"/>
      <c r="F25" s="103" t="str">
        <f>HYPERLINK("https://yt3.ggpht.com/ytc/AKedOLSGXu6ROBtThd1WxresVI1nIGfe2ILglB77eFBKqA=s88-c-k-c0x00ffffff-no-rj")</f>
        <v>https://yt3.ggpht.com/ytc/AKedOLSGXu6ROBtThd1WxresVI1nIGfe2ILglB77eFBKqA=s88-c-k-c0x00ffffff-no-rj</v>
      </c>
      <c r="G25" s="66"/>
      <c r="H25" s="70" t="s">
        <v>867</v>
      </c>
      <c r="I25" s="71"/>
      <c r="J25" s="71" t="s">
        <v>159</v>
      </c>
      <c r="K25" s="70" t="s">
        <v>867</v>
      </c>
      <c r="L25" s="74">
        <v>1</v>
      </c>
      <c r="M25" s="75">
        <v>9871.46484375</v>
      </c>
      <c r="N25" s="75">
        <v>4617.18505859375</v>
      </c>
      <c r="O25" s="76"/>
      <c r="P25" s="77"/>
      <c r="Q25" s="77"/>
      <c r="R25" s="89"/>
      <c r="S25" s="49">
        <v>1</v>
      </c>
      <c r="T25" s="49">
        <v>1</v>
      </c>
      <c r="U25" s="50">
        <v>0</v>
      </c>
      <c r="V25" s="50">
        <v>0.005979</v>
      </c>
      <c r="W25" s="50">
        <v>0</v>
      </c>
      <c r="X25" s="50">
        <v>0.004058</v>
      </c>
      <c r="Y25" s="50">
        <v>0</v>
      </c>
      <c r="Z25" s="50">
        <v>1</v>
      </c>
      <c r="AA25" s="72">
        <v>25</v>
      </c>
      <c r="AB25" s="72"/>
      <c r="AC25" s="73"/>
      <c r="AD25" s="80" t="s">
        <v>867</v>
      </c>
      <c r="AE25" s="80"/>
      <c r="AF25" s="80"/>
      <c r="AG25" s="80"/>
      <c r="AH25" s="80"/>
      <c r="AI25" s="80" t="s">
        <v>1347</v>
      </c>
      <c r="AJ25" s="87">
        <v>40051.773668981485</v>
      </c>
      <c r="AK25" s="85" t="str">
        <f>HYPERLINK("https://yt3.ggpht.com/ytc/AKedOLSGXu6ROBtThd1WxresVI1nIGfe2ILglB77eFBKqA=s88-c-k-c0x00ffffff-no-rj")</f>
        <v>https://yt3.ggpht.com/ytc/AKedOLSGXu6ROBtThd1WxresVI1nIGfe2ILglB77eFBKqA=s88-c-k-c0x00ffffff-no-rj</v>
      </c>
      <c r="AL25" s="80">
        <v>1258</v>
      </c>
      <c r="AM25" s="80">
        <v>0</v>
      </c>
      <c r="AN25" s="80">
        <v>15</v>
      </c>
      <c r="AO25" s="80" t="b">
        <v>0</v>
      </c>
      <c r="AP25" s="80">
        <v>13</v>
      </c>
      <c r="AQ25" s="80"/>
      <c r="AR25" s="80"/>
      <c r="AS25" s="80" t="s">
        <v>1376</v>
      </c>
      <c r="AT25" s="85" t="str">
        <f>HYPERLINK("https://www.youtube.com/channel/UC2b3yDPx5ALGuEJSAs_E7kw")</f>
        <v>https://www.youtube.com/channel/UC2b3yDPx5ALGuEJSAs_E7kw</v>
      </c>
      <c r="AU25" s="80" t="str">
        <f>REPLACE(INDEX(GroupVertices[Group],MATCH(Vertices[[#This Row],[Vertex]],GroupVertices[Vertex],0)),1,1,"")</f>
        <v>17</v>
      </c>
      <c r="AV25" s="49">
        <v>1</v>
      </c>
      <c r="AW25" s="50">
        <v>16.666666666666668</v>
      </c>
      <c r="AX25" s="49">
        <v>0</v>
      </c>
      <c r="AY25" s="50">
        <v>0</v>
      </c>
      <c r="AZ25" s="49">
        <v>0</v>
      </c>
      <c r="BA25" s="50">
        <v>0</v>
      </c>
      <c r="BB25" s="49">
        <v>5</v>
      </c>
      <c r="BC25" s="50">
        <v>83.33333333333333</v>
      </c>
      <c r="BD25" s="49">
        <v>6</v>
      </c>
      <c r="BE25" s="49"/>
      <c r="BF25" s="49"/>
      <c r="BG25" s="49"/>
      <c r="BH25" s="49"/>
      <c r="BI25" s="49"/>
      <c r="BJ25" s="49"/>
      <c r="BK25" s="111" t="s">
        <v>2371</v>
      </c>
      <c r="BL25" s="111" t="s">
        <v>2371</v>
      </c>
      <c r="BM25" s="111" t="s">
        <v>2562</v>
      </c>
      <c r="BN25" s="111" t="s">
        <v>2562</v>
      </c>
      <c r="BO25" s="2"/>
      <c r="BP25" s="3"/>
      <c r="BQ25" s="3"/>
      <c r="BR25" s="3"/>
      <c r="BS25" s="3"/>
    </row>
    <row r="26" spans="1:71" ht="15">
      <c r="A26" s="65" t="s">
        <v>355</v>
      </c>
      <c r="B26" s="66"/>
      <c r="C26" s="66"/>
      <c r="D26" s="67">
        <v>150</v>
      </c>
      <c r="E26" s="69"/>
      <c r="F26" s="103" t="str">
        <f>HYPERLINK("https://yt3.ggpht.com/ytc/AKedOLR9-XmISIUwsmHZs320RJ8WzdkREkuIVtSXqTxm=s88-c-k-c0x00ffffff-no-rj")</f>
        <v>https://yt3.ggpht.com/ytc/AKedOLR9-XmISIUwsmHZs320RJ8WzdkREkuIVtSXqTxm=s88-c-k-c0x00ffffff-no-rj</v>
      </c>
      <c r="G26" s="66"/>
      <c r="H26" s="70" t="s">
        <v>868</v>
      </c>
      <c r="I26" s="71"/>
      <c r="J26" s="71" t="s">
        <v>159</v>
      </c>
      <c r="K26" s="70" t="s">
        <v>868</v>
      </c>
      <c r="L26" s="74">
        <v>1</v>
      </c>
      <c r="M26" s="75">
        <v>9149.828125</v>
      </c>
      <c r="N26" s="75">
        <v>3220.26611328125</v>
      </c>
      <c r="O26" s="76"/>
      <c r="P26" s="77"/>
      <c r="Q26" s="77"/>
      <c r="R26" s="89"/>
      <c r="S26" s="49">
        <v>1</v>
      </c>
      <c r="T26" s="49">
        <v>1</v>
      </c>
      <c r="U26" s="50">
        <v>0</v>
      </c>
      <c r="V26" s="50">
        <v>0.005979</v>
      </c>
      <c r="W26" s="50">
        <v>0</v>
      </c>
      <c r="X26" s="50">
        <v>0.004058</v>
      </c>
      <c r="Y26" s="50">
        <v>0</v>
      </c>
      <c r="Z26" s="50">
        <v>1</v>
      </c>
      <c r="AA26" s="72">
        <v>26</v>
      </c>
      <c r="AB26" s="72"/>
      <c r="AC26" s="73"/>
      <c r="AD26" s="80" t="s">
        <v>868</v>
      </c>
      <c r="AE26" s="80"/>
      <c r="AF26" s="80"/>
      <c r="AG26" s="80"/>
      <c r="AH26" s="80"/>
      <c r="AI26" s="80"/>
      <c r="AJ26" s="87">
        <v>43287.16670138889</v>
      </c>
      <c r="AK26" s="85" t="str">
        <f>HYPERLINK("https://yt3.ggpht.com/ytc/AKedOLR9-XmISIUwsmHZs320RJ8WzdkREkuIVtSXqTxm=s88-c-k-c0x00ffffff-no-rj")</f>
        <v>https://yt3.ggpht.com/ytc/AKedOLR9-XmISIUwsmHZs320RJ8WzdkREkuIVtSXqTxm=s88-c-k-c0x00ffffff-no-rj</v>
      </c>
      <c r="AL26" s="80">
        <v>638</v>
      </c>
      <c r="AM26" s="80">
        <v>0</v>
      </c>
      <c r="AN26" s="80">
        <v>270</v>
      </c>
      <c r="AO26" s="80" t="b">
        <v>0</v>
      </c>
      <c r="AP26" s="80">
        <v>2</v>
      </c>
      <c r="AQ26" s="80"/>
      <c r="AR26" s="80"/>
      <c r="AS26" s="80" t="s">
        <v>1376</v>
      </c>
      <c r="AT26" s="85" t="str">
        <f>HYPERLINK("https://www.youtube.com/channel/UCeiKh2VbzXlQeESwZzg7xxQ")</f>
        <v>https://www.youtube.com/channel/UCeiKh2VbzXlQeESwZzg7xxQ</v>
      </c>
      <c r="AU26" s="80" t="str">
        <f>REPLACE(INDEX(GroupVertices[Group],MATCH(Vertices[[#This Row],[Vertex]],GroupVertices[Vertex],0)),1,1,"")</f>
        <v>17</v>
      </c>
      <c r="AV26" s="49">
        <v>0</v>
      </c>
      <c r="AW26" s="50">
        <v>0</v>
      </c>
      <c r="AX26" s="49">
        <v>0</v>
      </c>
      <c r="AY26" s="50">
        <v>0</v>
      </c>
      <c r="AZ26" s="49">
        <v>0</v>
      </c>
      <c r="BA26" s="50">
        <v>0</v>
      </c>
      <c r="BB26" s="49">
        <v>13</v>
      </c>
      <c r="BC26" s="50">
        <v>100</v>
      </c>
      <c r="BD26" s="49">
        <v>13</v>
      </c>
      <c r="BE26" s="49"/>
      <c r="BF26" s="49"/>
      <c r="BG26" s="49"/>
      <c r="BH26" s="49"/>
      <c r="BI26" s="49"/>
      <c r="BJ26" s="49"/>
      <c r="BK26" s="111" t="s">
        <v>2372</v>
      </c>
      <c r="BL26" s="111" t="s">
        <v>2372</v>
      </c>
      <c r="BM26" s="111" t="s">
        <v>2563</v>
      </c>
      <c r="BN26" s="111" t="s">
        <v>2563</v>
      </c>
      <c r="BO26" s="2"/>
      <c r="BP26" s="3"/>
      <c r="BQ26" s="3"/>
      <c r="BR26" s="3"/>
      <c r="BS26" s="3"/>
    </row>
    <row r="27" spans="1:71" ht="15">
      <c r="A27" s="65" t="s">
        <v>356</v>
      </c>
      <c r="B27" s="66"/>
      <c r="C27" s="66"/>
      <c r="D27" s="67">
        <v>150</v>
      </c>
      <c r="E27" s="69"/>
      <c r="F27" s="103" t="str">
        <f>HYPERLINK("https://yt3.ggpht.com/ytc/AKedOLTIoukd1g-yvFuLJUb-wuK4ZX0UVYsL2S3XlDc80w=s88-c-k-c0x00ffffff-no-rj")</f>
        <v>https://yt3.ggpht.com/ytc/AKedOLTIoukd1g-yvFuLJUb-wuK4ZX0UVYsL2S3XlDc80w=s88-c-k-c0x00ffffff-no-rj</v>
      </c>
      <c r="G27" s="66"/>
      <c r="H27" s="70" t="s">
        <v>869</v>
      </c>
      <c r="I27" s="71"/>
      <c r="J27" s="71" t="s">
        <v>159</v>
      </c>
      <c r="K27" s="70" t="s">
        <v>869</v>
      </c>
      <c r="L27" s="74">
        <v>1</v>
      </c>
      <c r="M27" s="75">
        <v>5146.0771484375</v>
      </c>
      <c r="N27" s="75">
        <v>4264.279296875</v>
      </c>
      <c r="O27" s="76"/>
      <c r="P27" s="77"/>
      <c r="Q27" s="77"/>
      <c r="R27" s="89"/>
      <c r="S27" s="49">
        <v>0</v>
      </c>
      <c r="T27" s="49">
        <v>1</v>
      </c>
      <c r="U27" s="50">
        <v>0</v>
      </c>
      <c r="V27" s="50">
        <v>0.131843</v>
      </c>
      <c r="W27" s="50">
        <v>0.003013</v>
      </c>
      <c r="X27" s="50">
        <v>0.003918</v>
      </c>
      <c r="Y27" s="50">
        <v>0</v>
      </c>
      <c r="Z27" s="50">
        <v>0</v>
      </c>
      <c r="AA27" s="72">
        <v>27</v>
      </c>
      <c r="AB27" s="72"/>
      <c r="AC27" s="73"/>
      <c r="AD27" s="80" t="s">
        <v>869</v>
      </c>
      <c r="AE27" s="80"/>
      <c r="AF27" s="80"/>
      <c r="AG27" s="80"/>
      <c r="AH27" s="80"/>
      <c r="AI27" s="80"/>
      <c r="AJ27" s="87">
        <v>39637.1853125</v>
      </c>
      <c r="AK27" s="85" t="str">
        <f>HYPERLINK("https://yt3.ggpht.com/ytc/AKedOLTIoukd1g-yvFuLJUb-wuK4ZX0UVYsL2S3XlDc80w=s88-c-k-c0x00ffffff-no-rj")</f>
        <v>https://yt3.ggpht.com/ytc/AKedOLTIoukd1g-yvFuLJUb-wuK4ZX0UVYsL2S3XlDc80w=s88-c-k-c0x00ffffff-no-rj</v>
      </c>
      <c r="AL27" s="80">
        <v>1784</v>
      </c>
      <c r="AM27" s="80">
        <v>0</v>
      </c>
      <c r="AN27" s="80">
        <v>6</v>
      </c>
      <c r="AO27" s="80" t="b">
        <v>0</v>
      </c>
      <c r="AP27" s="80">
        <v>33</v>
      </c>
      <c r="AQ27" s="80"/>
      <c r="AR27" s="80"/>
      <c r="AS27" s="80" t="s">
        <v>1376</v>
      </c>
      <c r="AT27" s="85" t="str">
        <f>HYPERLINK("https://www.youtube.com/channel/UCOySjL4JhGjAvIU2BeWaZMA")</f>
        <v>https://www.youtube.com/channel/UCOySjL4JhGjAvIU2BeWaZMA</v>
      </c>
      <c r="AU27" s="80" t="str">
        <f>REPLACE(INDEX(GroupVertices[Group],MATCH(Vertices[[#This Row],[Vertex]],GroupVertices[Vertex],0)),1,1,"")</f>
        <v>9</v>
      </c>
      <c r="AV27" s="49">
        <v>1</v>
      </c>
      <c r="AW27" s="50">
        <v>100</v>
      </c>
      <c r="AX27" s="49">
        <v>0</v>
      </c>
      <c r="AY27" s="50">
        <v>0</v>
      </c>
      <c r="AZ27" s="49">
        <v>0</v>
      </c>
      <c r="BA27" s="50">
        <v>0</v>
      </c>
      <c r="BB27" s="49">
        <v>0</v>
      </c>
      <c r="BC27" s="50">
        <v>0</v>
      </c>
      <c r="BD27" s="49">
        <v>1</v>
      </c>
      <c r="BE27" s="49"/>
      <c r="BF27" s="49"/>
      <c r="BG27" s="49"/>
      <c r="BH27" s="49"/>
      <c r="BI27" s="49"/>
      <c r="BJ27" s="49"/>
      <c r="BK27" s="111" t="s">
        <v>1542</v>
      </c>
      <c r="BL27" s="111" t="s">
        <v>1542</v>
      </c>
      <c r="BM27" s="111" t="s">
        <v>1239</v>
      </c>
      <c r="BN27" s="111" t="s">
        <v>1239</v>
      </c>
      <c r="BO27" s="2"/>
      <c r="BP27" s="3"/>
      <c r="BQ27" s="3"/>
      <c r="BR27" s="3"/>
      <c r="BS27" s="3"/>
    </row>
    <row r="28" spans="1:71" ht="15">
      <c r="A28" s="65" t="s">
        <v>358</v>
      </c>
      <c r="B28" s="66"/>
      <c r="C28" s="66"/>
      <c r="D28" s="67">
        <v>1000</v>
      </c>
      <c r="E28" s="69"/>
      <c r="F28" s="103" t="str">
        <f>HYPERLINK("https://yt3.ggpht.com/ytc/AKedOLQt7GuadNt0HdeYQKvhU6Q6vIw7Q0RGEAJJ4w=s88-c-k-c0x00ffffff-no-rj")</f>
        <v>https://yt3.ggpht.com/ytc/AKedOLQt7GuadNt0HdeYQKvhU6Q6vIw7Q0RGEAJJ4w=s88-c-k-c0x00ffffff-no-rj</v>
      </c>
      <c r="G28" s="66"/>
      <c r="H28" s="70" t="s">
        <v>871</v>
      </c>
      <c r="I28" s="71"/>
      <c r="J28" s="71" t="s">
        <v>75</v>
      </c>
      <c r="K28" s="70" t="s">
        <v>871</v>
      </c>
      <c r="L28" s="74">
        <v>1443.2792570429217</v>
      </c>
      <c r="M28" s="75">
        <v>5102.654296875</v>
      </c>
      <c r="N28" s="75">
        <v>3265.805419921875</v>
      </c>
      <c r="O28" s="76"/>
      <c r="P28" s="77"/>
      <c r="Q28" s="77"/>
      <c r="R28" s="89"/>
      <c r="S28" s="49">
        <v>10</v>
      </c>
      <c r="T28" s="49">
        <v>2</v>
      </c>
      <c r="U28" s="50">
        <v>2000</v>
      </c>
      <c r="V28" s="50">
        <v>0.170373</v>
      </c>
      <c r="W28" s="50">
        <v>0.026838</v>
      </c>
      <c r="X28" s="50">
        <v>0.008192</v>
      </c>
      <c r="Y28" s="50">
        <v>0</v>
      </c>
      <c r="Z28" s="50">
        <v>0.1111111111111111</v>
      </c>
      <c r="AA28" s="72">
        <v>28</v>
      </c>
      <c r="AB28" s="72"/>
      <c r="AC28" s="73"/>
      <c r="AD28" s="80" t="s">
        <v>871</v>
      </c>
      <c r="AE28" s="80"/>
      <c r="AF28" s="80"/>
      <c r="AG28" s="80"/>
      <c r="AH28" s="80"/>
      <c r="AI28" s="80"/>
      <c r="AJ28" s="87">
        <v>39357.99597222222</v>
      </c>
      <c r="AK28" s="85" t="str">
        <f>HYPERLINK("https://yt3.ggpht.com/ytc/AKedOLQt7GuadNt0HdeYQKvhU6Q6vIw7Q0RGEAJJ4w=s88-c-k-c0x00ffffff-no-rj")</f>
        <v>https://yt3.ggpht.com/ytc/AKedOLQt7GuadNt0HdeYQKvhU6Q6vIw7Q0RGEAJJ4w=s88-c-k-c0x00ffffff-no-rj</v>
      </c>
      <c r="AL28" s="80">
        <v>19412</v>
      </c>
      <c r="AM28" s="80">
        <v>0</v>
      </c>
      <c r="AN28" s="80">
        <v>18</v>
      </c>
      <c r="AO28" s="80" t="b">
        <v>0</v>
      </c>
      <c r="AP28" s="80">
        <v>4</v>
      </c>
      <c r="AQ28" s="80"/>
      <c r="AR28" s="80"/>
      <c r="AS28" s="80" t="s">
        <v>1376</v>
      </c>
      <c r="AT28" s="85" t="str">
        <f>HYPERLINK("https://www.youtube.com/channel/UCo4986VKClJt42gAAOHqWtQ")</f>
        <v>https://www.youtube.com/channel/UCo4986VKClJt42gAAOHqWtQ</v>
      </c>
      <c r="AU28" s="80" t="str">
        <f>REPLACE(INDEX(GroupVertices[Group],MATCH(Vertices[[#This Row],[Vertex]],GroupVertices[Vertex],0)),1,1,"")</f>
        <v>9</v>
      </c>
      <c r="AV28" s="49">
        <v>1</v>
      </c>
      <c r="AW28" s="50">
        <v>2.7777777777777777</v>
      </c>
      <c r="AX28" s="49">
        <v>0</v>
      </c>
      <c r="AY28" s="50">
        <v>0</v>
      </c>
      <c r="AZ28" s="49">
        <v>0</v>
      </c>
      <c r="BA28" s="50">
        <v>0</v>
      </c>
      <c r="BB28" s="49">
        <v>35</v>
      </c>
      <c r="BC28" s="50">
        <v>97.22222222222223</v>
      </c>
      <c r="BD28" s="49">
        <v>36</v>
      </c>
      <c r="BE28" s="49"/>
      <c r="BF28" s="49"/>
      <c r="BG28" s="49"/>
      <c r="BH28" s="49"/>
      <c r="BI28" s="49"/>
      <c r="BJ28" s="49"/>
      <c r="BK28" s="111" t="s">
        <v>2373</v>
      </c>
      <c r="BL28" s="111" t="s">
        <v>2373</v>
      </c>
      <c r="BM28" s="111" t="s">
        <v>2564</v>
      </c>
      <c r="BN28" s="111" t="s">
        <v>2564</v>
      </c>
      <c r="BO28" s="2"/>
      <c r="BP28" s="3"/>
      <c r="BQ28" s="3"/>
      <c r="BR28" s="3"/>
      <c r="BS28" s="3"/>
    </row>
    <row r="29" spans="1:71" ht="15">
      <c r="A29" s="65" t="s">
        <v>357</v>
      </c>
      <c r="B29" s="66"/>
      <c r="C29" s="66"/>
      <c r="D29" s="67">
        <v>150</v>
      </c>
      <c r="E29" s="69"/>
      <c r="F29" s="103" t="str">
        <f>HYPERLINK("https://yt3.ggpht.com/ytc/AKedOLRmEPePGEh1ULc-NLsaQdhJkGsl-QenN2wOdt1i=s88-c-k-c0x00ffffff-no-rj")</f>
        <v>https://yt3.ggpht.com/ytc/AKedOLRmEPePGEh1ULc-NLsaQdhJkGsl-QenN2wOdt1i=s88-c-k-c0x00ffffff-no-rj</v>
      </c>
      <c r="G29" s="66"/>
      <c r="H29" s="70" t="s">
        <v>870</v>
      </c>
      <c r="I29" s="71"/>
      <c r="J29" s="71" t="s">
        <v>159</v>
      </c>
      <c r="K29" s="70" t="s">
        <v>870</v>
      </c>
      <c r="L29" s="74">
        <v>1</v>
      </c>
      <c r="M29" s="75">
        <v>5753.14013671875</v>
      </c>
      <c r="N29" s="75">
        <v>3317.818359375</v>
      </c>
      <c r="O29" s="76"/>
      <c r="P29" s="77"/>
      <c r="Q29" s="77"/>
      <c r="R29" s="89"/>
      <c r="S29" s="49">
        <v>0</v>
      </c>
      <c r="T29" s="49">
        <v>1</v>
      </c>
      <c r="U29" s="50">
        <v>0</v>
      </c>
      <c r="V29" s="50">
        <v>0.131843</v>
      </c>
      <c r="W29" s="50">
        <v>0.003013</v>
      </c>
      <c r="X29" s="50">
        <v>0.003918</v>
      </c>
      <c r="Y29" s="50">
        <v>0</v>
      </c>
      <c r="Z29" s="50">
        <v>0</v>
      </c>
      <c r="AA29" s="72">
        <v>29</v>
      </c>
      <c r="AB29" s="72"/>
      <c r="AC29" s="73"/>
      <c r="AD29" s="80" t="s">
        <v>870</v>
      </c>
      <c r="AE29" s="80"/>
      <c r="AF29" s="80"/>
      <c r="AG29" s="80"/>
      <c r="AH29" s="80"/>
      <c r="AI29" s="80" t="s">
        <v>1348</v>
      </c>
      <c r="AJ29" s="87">
        <v>41020.14306712963</v>
      </c>
      <c r="AK29" s="85" t="str">
        <f>HYPERLINK("https://yt3.ggpht.com/ytc/AKedOLRmEPePGEh1ULc-NLsaQdhJkGsl-QenN2wOdt1i=s88-c-k-c0x00ffffff-no-rj")</f>
        <v>https://yt3.ggpht.com/ytc/AKedOLRmEPePGEh1ULc-NLsaQdhJkGsl-QenN2wOdt1i=s88-c-k-c0x00ffffff-no-rj</v>
      </c>
      <c r="AL29" s="80">
        <v>0</v>
      </c>
      <c r="AM29" s="80">
        <v>0</v>
      </c>
      <c r="AN29" s="80">
        <v>0</v>
      </c>
      <c r="AO29" s="80" t="b">
        <v>0</v>
      </c>
      <c r="AP29" s="80">
        <v>0</v>
      </c>
      <c r="AQ29" s="80"/>
      <c r="AR29" s="80"/>
      <c r="AS29" s="80" t="s">
        <v>1376</v>
      </c>
      <c r="AT29" s="85" t="str">
        <f>HYPERLINK("https://www.youtube.com/channel/UCkkgApUQlDrsLaod5io227g")</f>
        <v>https://www.youtube.com/channel/UCkkgApUQlDrsLaod5io227g</v>
      </c>
      <c r="AU29" s="80" t="str">
        <f>REPLACE(INDEX(GroupVertices[Group],MATCH(Vertices[[#This Row],[Vertex]],GroupVertices[Vertex],0)),1,1,"")</f>
        <v>9</v>
      </c>
      <c r="AV29" s="49">
        <v>0</v>
      </c>
      <c r="AW29" s="50">
        <v>0</v>
      </c>
      <c r="AX29" s="49">
        <v>0</v>
      </c>
      <c r="AY29" s="50">
        <v>0</v>
      </c>
      <c r="AZ29" s="49">
        <v>0</v>
      </c>
      <c r="BA29" s="50">
        <v>0</v>
      </c>
      <c r="BB29" s="49">
        <v>19</v>
      </c>
      <c r="BC29" s="50">
        <v>100</v>
      </c>
      <c r="BD29" s="49">
        <v>19</v>
      </c>
      <c r="BE29" s="49"/>
      <c r="BF29" s="49"/>
      <c r="BG29" s="49"/>
      <c r="BH29" s="49"/>
      <c r="BI29" s="49"/>
      <c r="BJ29" s="49"/>
      <c r="BK29" s="111" t="s">
        <v>2374</v>
      </c>
      <c r="BL29" s="111" t="s">
        <v>2374</v>
      </c>
      <c r="BM29" s="111" t="s">
        <v>2565</v>
      </c>
      <c r="BN29" s="111" t="s">
        <v>2565</v>
      </c>
      <c r="BO29" s="2"/>
      <c r="BP29" s="3"/>
      <c r="BQ29" s="3"/>
      <c r="BR29" s="3"/>
      <c r="BS29" s="3"/>
    </row>
    <row r="30" spans="1:71" ht="15">
      <c r="A30" s="65" t="s">
        <v>359</v>
      </c>
      <c r="B30" s="66"/>
      <c r="C30" s="66"/>
      <c r="D30" s="67">
        <v>150</v>
      </c>
      <c r="E30" s="69"/>
      <c r="F30" s="103" t="str">
        <f>HYPERLINK("https://yt3.ggpht.com/ytc/AKedOLRwTx7GKI4kLnNmALpk8d2aeqWigWg6Ze1vVufWhg=s88-c-k-c0x00ffffff-no-rj")</f>
        <v>https://yt3.ggpht.com/ytc/AKedOLRwTx7GKI4kLnNmALpk8d2aeqWigWg6Ze1vVufWhg=s88-c-k-c0x00ffffff-no-rj</v>
      </c>
      <c r="G30" s="66"/>
      <c r="H30" s="70" t="s">
        <v>872</v>
      </c>
      <c r="I30" s="71"/>
      <c r="J30" s="71" t="s">
        <v>159</v>
      </c>
      <c r="K30" s="70" t="s">
        <v>872</v>
      </c>
      <c r="L30" s="74">
        <v>1</v>
      </c>
      <c r="M30" s="75">
        <v>5612.6533203125</v>
      </c>
      <c r="N30" s="75">
        <v>2656.63671875</v>
      </c>
      <c r="O30" s="76"/>
      <c r="P30" s="77"/>
      <c r="Q30" s="77"/>
      <c r="R30" s="89"/>
      <c r="S30" s="49">
        <v>1</v>
      </c>
      <c r="T30" s="49">
        <v>1</v>
      </c>
      <c r="U30" s="50">
        <v>0</v>
      </c>
      <c r="V30" s="50">
        <v>0.131843</v>
      </c>
      <c r="W30" s="50">
        <v>0.003013</v>
      </c>
      <c r="X30" s="50">
        <v>0.003918</v>
      </c>
      <c r="Y30" s="50">
        <v>0</v>
      </c>
      <c r="Z30" s="50">
        <v>1</v>
      </c>
      <c r="AA30" s="72">
        <v>30</v>
      </c>
      <c r="AB30" s="72"/>
      <c r="AC30" s="73"/>
      <c r="AD30" s="80" t="s">
        <v>872</v>
      </c>
      <c r="AE30" s="80"/>
      <c r="AF30" s="80"/>
      <c r="AG30" s="80"/>
      <c r="AH30" s="80"/>
      <c r="AI30" s="80"/>
      <c r="AJ30" s="87">
        <v>40934.81644675926</v>
      </c>
      <c r="AK30" s="85" t="str">
        <f>HYPERLINK("https://yt3.ggpht.com/ytc/AKedOLRwTx7GKI4kLnNmALpk8d2aeqWigWg6Ze1vVufWhg=s88-c-k-c0x00ffffff-no-rj")</f>
        <v>https://yt3.ggpht.com/ytc/AKedOLRwTx7GKI4kLnNmALpk8d2aeqWigWg6Ze1vVufWhg=s88-c-k-c0x00ffffff-no-rj</v>
      </c>
      <c r="AL30" s="80">
        <v>0</v>
      </c>
      <c r="AM30" s="80">
        <v>0</v>
      </c>
      <c r="AN30" s="80">
        <v>1</v>
      </c>
      <c r="AO30" s="80" t="b">
        <v>0</v>
      </c>
      <c r="AP30" s="80">
        <v>0</v>
      </c>
      <c r="AQ30" s="80"/>
      <c r="AR30" s="80"/>
      <c r="AS30" s="80" t="s">
        <v>1376</v>
      </c>
      <c r="AT30" s="85" t="str">
        <f>HYPERLINK("https://www.youtube.com/channel/UC-jjpnxCagdT_bv8huLBmrA")</f>
        <v>https://www.youtube.com/channel/UC-jjpnxCagdT_bv8huLBmrA</v>
      </c>
      <c r="AU30" s="80" t="str">
        <f>REPLACE(INDEX(GroupVertices[Group],MATCH(Vertices[[#This Row],[Vertex]],GroupVertices[Vertex],0)),1,1,"")</f>
        <v>9</v>
      </c>
      <c r="AV30" s="49">
        <v>4</v>
      </c>
      <c r="AW30" s="50">
        <v>11.764705882352942</v>
      </c>
      <c r="AX30" s="49">
        <v>0</v>
      </c>
      <c r="AY30" s="50">
        <v>0</v>
      </c>
      <c r="AZ30" s="49">
        <v>0</v>
      </c>
      <c r="BA30" s="50">
        <v>0</v>
      </c>
      <c r="BB30" s="49">
        <v>30</v>
      </c>
      <c r="BC30" s="50">
        <v>88.23529411764706</v>
      </c>
      <c r="BD30" s="49">
        <v>34</v>
      </c>
      <c r="BE30" s="49"/>
      <c r="BF30" s="49"/>
      <c r="BG30" s="49"/>
      <c r="BH30" s="49"/>
      <c r="BI30" s="49"/>
      <c r="BJ30" s="49"/>
      <c r="BK30" s="111" t="s">
        <v>2375</v>
      </c>
      <c r="BL30" s="111" t="s">
        <v>2375</v>
      </c>
      <c r="BM30" s="111" t="s">
        <v>2566</v>
      </c>
      <c r="BN30" s="111" t="s">
        <v>2566</v>
      </c>
      <c r="BO30" s="2"/>
      <c r="BP30" s="3"/>
      <c r="BQ30" s="3"/>
      <c r="BR30" s="3"/>
      <c r="BS30" s="3"/>
    </row>
    <row r="31" spans="1:71" ht="15">
      <c r="A31" s="65" t="s">
        <v>360</v>
      </c>
      <c r="B31" s="66"/>
      <c r="C31" s="66"/>
      <c r="D31" s="67">
        <v>150</v>
      </c>
      <c r="E31" s="69"/>
      <c r="F31" s="103" t="str">
        <f>HYPERLINK("https://yt3.ggpht.com/ytc/AKedOLTKIspaJhlXv6p3mvS30r948-QdvZO1jlmjQTb1iQ=s88-c-k-c0x00ffffff-no-rj")</f>
        <v>https://yt3.ggpht.com/ytc/AKedOLTKIspaJhlXv6p3mvS30r948-QdvZO1jlmjQTb1iQ=s88-c-k-c0x00ffffff-no-rj</v>
      </c>
      <c r="G31" s="66"/>
      <c r="H31" s="70" t="s">
        <v>873</v>
      </c>
      <c r="I31" s="71"/>
      <c r="J31" s="71" t="s">
        <v>159</v>
      </c>
      <c r="K31" s="70" t="s">
        <v>873</v>
      </c>
      <c r="L31" s="74">
        <v>1</v>
      </c>
      <c r="M31" s="75">
        <v>5564.81689453125</v>
      </c>
      <c r="N31" s="75">
        <v>3953.459228515625</v>
      </c>
      <c r="O31" s="76"/>
      <c r="P31" s="77"/>
      <c r="Q31" s="77"/>
      <c r="R31" s="89"/>
      <c r="S31" s="49">
        <v>0</v>
      </c>
      <c r="T31" s="49">
        <v>1</v>
      </c>
      <c r="U31" s="50">
        <v>0</v>
      </c>
      <c r="V31" s="50">
        <v>0.131843</v>
      </c>
      <c r="W31" s="50">
        <v>0.003013</v>
      </c>
      <c r="X31" s="50">
        <v>0.003918</v>
      </c>
      <c r="Y31" s="50">
        <v>0</v>
      </c>
      <c r="Z31" s="50">
        <v>0</v>
      </c>
      <c r="AA31" s="72">
        <v>31</v>
      </c>
      <c r="AB31" s="72"/>
      <c r="AC31" s="73"/>
      <c r="AD31" s="80" t="s">
        <v>873</v>
      </c>
      <c r="AE31" s="80"/>
      <c r="AF31" s="80"/>
      <c r="AG31" s="80"/>
      <c r="AH31" s="80"/>
      <c r="AI31" s="80"/>
      <c r="AJ31" s="87">
        <v>41110.830717592595</v>
      </c>
      <c r="AK31" s="85" t="str">
        <f>HYPERLINK("https://yt3.ggpht.com/ytc/AKedOLTKIspaJhlXv6p3mvS30r948-QdvZO1jlmjQTb1iQ=s88-c-k-c0x00ffffff-no-rj")</f>
        <v>https://yt3.ggpht.com/ytc/AKedOLTKIspaJhlXv6p3mvS30r948-QdvZO1jlmjQTb1iQ=s88-c-k-c0x00ffffff-no-rj</v>
      </c>
      <c r="AL31" s="80">
        <v>0</v>
      </c>
      <c r="AM31" s="80">
        <v>0</v>
      </c>
      <c r="AN31" s="80">
        <v>0</v>
      </c>
      <c r="AO31" s="80" t="b">
        <v>0</v>
      </c>
      <c r="AP31" s="80">
        <v>0</v>
      </c>
      <c r="AQ31" s="80"/>
      <c r="AR31" s="80"/>
      <c r="AS31" s="80" t="s">
        <v>1376</v>
      </c>
      <c r="AT31" s="85" t="str">
        <f>HYPERLINK("https://www.youtube.com/channel/UCYS7wFuePefGbkq9zjRt8sQ")</f>
        <v>https://www.youtube.com/channel/UCYS7wFuePefGbkq9zjRt8sQ</v>
      </c>
      <c r="AU31" s="80" t="str">
        <f>REPLACE(INDEX(GroupVertices[Group],MATCH(Vertices[[#This Row],[Vertex]],GroupVertices[Vertex],0)),1,1,"")</f>
        <v>9</v>
      </c>
      <c r="AV31" s="49">
        <v>0</v>
      </c>
      <c r="AW31" s="50">
        <v>0</v>
      </c>
      <c r="AX31" s="49">
        <v>0</v>
      </c>
      <c r="AY31" s="50">
        <v>0</v>
      </c>
      <c r="AZ31" s="49">
        <v>0</v>
      </c>
      <c r="BA31" s="50">
        <v>0</v>
      </c>
      <c r="BB31" s="49">
        <v>27</v>
      </c>
      <c r="BC31" s="50">
        <v>100</v>
      </c>
      <c r="BD31" s="49">
        <v>27</v>
      </c>
      <c r="BE31" s="49" t="s">
        <v>2154</v>
      </c>
      <c r="BF31" s="49" t="s">
        <v>2154</v>
      </c>
      <c r="BG31" s="49" t="s">
        <v>1221</v>
      </c>
      <c r="BH31" s="49" t="s">
        <v>1221</v>
      </c>
      <c r="BI31" s="49"/>
      <c r="BJ31" s="49"/>
      <c r="BK31" s="111" t="s">
        <v>2376</v>
      </c>
      <c r="BL31" s="111" t="s">
        <v>2376</v>
      </c>
      <c r="BM31" s="111" t="s">
        <v>2567</v>
      </c>
      <c r="BN31" s="111" t="s">
        <v>2567</v>
      </c>
      <c r="BO31" s="2"/>
      <c r="BP31" s="3"/>
      <c r="BQ31" s="3"/>
      <c r="BR31" s="3"/>
      <c r="BS31" s="3"/>
    </row>
    <row r="32" spans="1:71" ht="15">
      <c r="A32" s="65" t="s">
        <v>361</v>
      </c>
      <c r="B32" s="66"/>
      <c r="C32" s="66"/>
      <c r="D32" s="67">
        <v>150</v>
      </c>
      <c r="E32" s="69"/>
      <c r="F32" s="103" t="str">
        <f>HYPERLINK("https://yt3.ggpht.com/ytc/AKedOLSiaFGWuwdrd05dq2sKHdwpZA40atF4gnGNqvb_5Q=s88-c-k-c0x00ffffff-no-rj")</f>
        <v>https://yt3.ggpht.com/ytc/AKedOLSiaFGWuwdrd05dq2sKHdwpZA40atF4gnGNqvb_5Q=s88-c-k-c0x00ffffff-no-rj</v>
      </c>
      <c r="G32" s="66"/>
      <c r="H32" s="70" t="s">
        <v>874</v>
      </c>
      <c r="I32" s="71"/>
      <c r="J32" s="71" t="s">
        <v>159</v>
      </c>
      <c r="K32" s="70" t="s">
        <v>874</v>
      </c>
      <c r="L32" s="74">
        <v>1</v>
      </c>
      <c r="M32" s="75">
        <v>5219.75634765625</v>
      </c>
      <c r="N32" s="75">
        <v>2279.183837890625</v>
      </c>
      <c r="O32" s="76"/>
      <c r="P32" s="77"/>
      <c r="Q32" s="77"/>
      <c r="R32" s="89"/>
      <c r="S32" s="49">
        <v>0</v>
      </c>
      <c r="T32" s="49">
        <v>1</v>
      </c>
      <c r="U32" s="50">
        <v>0</v>
      </c>
      <c r="V32" s="50">
        <v>0.131843</v>
      </c>
      <c r="W32" s="50">
        <v>0.003013</v>
      </c>
      <c r="X32" s="50">
        <v>0.003918</v>
      </c>
      <c r="Y32" s="50">
        <v>0</v>
      </c>
      <c r="Z32" s="50">
        <v>0</v>
      </c>
      <c r="AA32" s="72">
        <v>32</v>
      </c>
      <c r="AB32" s="72"/>
      <c r="AC32" s="73"/>
      <c r="AD32" s="80" t="s">
        <v>874</v>
      </c>
      <c r="AE32" s="80"/>
      <c r="AF32" s="80"/>
      <c r="AG32" s="80"/>
      <c r="AH32" s="80"/>
      <c r="AI32" s="80"/>
      <c r="AJ32" s="87">
        <v>41764.29126157407</v>
      </c>
      <c r="AK32" s="85" t="str">
        <f>HYPERLINK("https://yt3.ggpht.com/ytc/AKedOLSiaFGWuwdrd05dq2sKHdwpZA40atF4gnGNqvb_5Q=s88-c-k-c0x00ffffff-no-rj")</f>
        <v>https://yt3.ggpht.com/ytc/AKedOLSiaFGWuwdrd05dq2sKHdwpZA40atF4gnGNqvb_5Q=s88-c-k-c0x00ffffff-no-rj</v>
      </c>
      <c r="AL32" s="80">
        <v>0</v>
      </c>
      <c r="AM32" s="80">
        <v>0</v>
      </c>
      <c r="AN32" s="80">
        <v>15</v>
      </c>
      <c r="AO32" s="80" t="b">
        <v>0</v>
      </c>
      <c r="AP32" s="80">
        <v>0</v>
      </c>
      <c r="AQ32" s="80"/>
      <c r="AR32" s="80"/>
      <c r="AS32" s="80" t="s">
        <v>1376</v>
      </c>
      <c r="AT32" s="85" t="str">
        <f>HYPERLINK("https://www.youtube.com/channel/UCDCjHgdB_5n2ppVPI3Vt8Ew")</f>
        <v>https://www.youtube.com/channel/UCDCjHgdB_5n2ppVPI3Vt8Ew</v>
      </c>
      <c r="AU32" s="80" t="str">
        <f>REPLACE(INDEX(GroupVertices[Group],MATCH(Vertices[[#This Row],[Vertex]],GroupVertices[Vertex],0)),1,1,"")</f>
        <v>9</v>
      </c>
      <c r="AV32" s="49">
        <v>0</v>
      </c>
      <c r="AW32" s="50">
        <v>0</v>
      </c>
      <c r="AX32" s="49">
        <v>0</v>
      </c>
      <c r="AY32" s="50">
        <v>0</v>
      </c>
      <c r="AZ32" s="49">
        <v>0</v>
      </c>
      <c r="BA32" s="50">
        <v>0</v>
      </c>
      <c r="BB32" s="49">
        <v>21</v>
      </c>
      <c r="BC32" s="50">
        <v>100</v>
      </c>
      <c r="BD32" s="49">
        <v>21</v>
      </c>
      <c r="BE32" s="49"/>
      <c r="BF32" s="49"/>
      <c r="BG32" s="49"/>
      <c r="BH32" s="49"/>
      <c r="BI32" s="49"/>
      <c r="BJ32" s="49"/>
      <c r="BK32" s="111" t="s">
        <v>2377</v>
      </c>
      <c r="BL32" s="111" t="s">
        <v>2377</v>
      </c>
      <c r="BM32" s="111" t="s">
        <v>2568</v>
      </c>
      <c r="BN32" s="111" t="s">
        <v>2568</v>
      </c>
      <c r="BO32" s="2"/>
      <c r="BP32" s="3"/>
      <c r="BQ32" s="3"/>
      <c r="BR32" s="3"/>
      <c r="BS32" s="3"/>
    </row>
    <row r="33" spans="1:71" ht="15">
      <c r="A33" s="65" t="s">
        <v>362</v>
      </c>
      <c r="B33" s="66"/>
      <c r="C33" s="66"/>
      <c r="D33" s="67">
        <v>150</v>
      </c>
      <c r="E33" s="69"/>
      <c r="F33" s="103" t="str">
        <f>HYPERLINK("https://yt3.ggpht.com/ytc/AKedOLRYHEpt-hlw3xzyOs3qG36G-SqR1QviyrL2C18k=s88-c-k-c0x00ffffff-no-rj")</f>
        <v>https://yt3.ggpht.com/ytc/AKedOLRYHEpt-hlw3xzyOs3qG36G-SqR1QviyrL2C18k=s88-c-k-c0x00ffffff-no-rj</v>
      </c>
      <c r="G33" s="66"/>
      <c r="H33" s="70" t="s">
        <v>875</v>
      </c>
      <c r="I33" s="71"/>
      <c r="J33" s="71" t="s">
        <v>159</v>
      </c>
      <c r="K33" s="70" t="s">
        <v>875</v>
      </c>
      <c r="L33" s="74">
        <v>1</v>
      </c>
      <c r="M33" s="75">
        <v>4736.02880859375</v>
      </c>
      <c r="N33" s="75">
        <v>4001.091552734375</v>
      </c>
      <c r="O33" s="76"/>
      <c r="P33" s="77"/>
      <c r="Q33" s="77"/>
      <c r="R33" s="89"/>
      <c r="S33" s="49">
        <v>0</v>
      </c>
      <c r="T33" s="49">
        <v>1</v>
      </c>
      <c r="U33" s="50">
        <v>0</v>
      </c>
      <c r="V33" s="50">
        <v>0.131843</v>
      </c>
      <c r="W33" s="50">
        <v>0.003013</v>
      </c>
      <c r="X33" s="50">
        <v>0.003918</v>
      </c>
      <c r="Y33" s="50">
        <v>0</v>
      </c>
      <c r="Z33" s="50">
        <v>0</v>
      </c>
      <c r="AA33" s="72">
        <v>33</v>
      </c>
      <c r="AB33" s="72"/>
      <c r="AC33" s="73"/>
      <c r="AD33" s="80" t="s">
        <v>875</v>
      </c>
      <c r="AE33" s="80"/>
      <c r="AF33" s="80"/>
      <c r="AG33" s="80"/>
      <c r="AH33" s="80"/>
      <c r="AI33" s="80"/>
      <c r="AJ33" s="87">
        <v>42536.560277777775</v>
      </c>
      <c r="AK33" s="85" t="str">
        <f>HYPERLINK("https://yt3.ggpht.com/ytc/AKedOLRYHEpt-hlw3xzyOs3qG36G-SqR1QviyrL2C18k=s88-c-k-c0x00ffffff-no-rj")</f>
        <v>https://yt3.ggpht.com/ytc/AKedOLRYHEpt-hlw3xzyOs3qG36G-SqR1QviyrL2C18k=s88-c-k-c0x00ffffff-no-rj</v>
      </c>
      <c r="AL33" s="80">
        <v>0</v>
      </c>
      <c r="AM33" s="80">
        <v>0</v>
      </c>
      <c r="AN33" s="80">
        <v>0</v>
      </c>
      <c r="AO33" s="80" t="b">
        <v>0</v>
      </c>
      <c r="AP33" s="80">
        <v>0</v>
      </c>
      <c r="AQ33" s="80"/>
      <c r="AR33" s="80"/>
      <c r="AS33" s="80" t="s">
        <v>1376</v>
      </c>
      <c r="AT33" s="85" t="str">
        <f>HYPERLINK("https://www.youtube.com/channel/UCYL-NgWVd0Ebir7pXVsMB2w")</f>
        <v>https://www.youtube.com/channel/UCYL-NgWVd0Ebir7pXVsMB2w</v>
      </c>
      <c r="AU33" s="80" t="str">
        <f>REPLACE(INDEX(GroupVertices[Group],MATCH(Vertices[[#This Row],[Vertex]],GroupVertices[Vertex],0)),1,1,"")</f>
        <v>9</v>
      </c>
      <c r="AV33" s="49">
        <v>0</v>
      </c>
      <c r="AW33" s="50">
        <v>0</v>
      </c>
      <c r="AX33" s="49">
        <v>0</v>
      </c>
      <c r="AY33" s="50">
        <v>0</v>
      </c>
      <c r="AZ33" s="49">
        <v>0</v>
      </c>
      <c r="BA33" s="50">
        <v>0</v>
      </c>
      <c r="BB33" s="49">
        <v>6</v>
      </c>
      <c r="BC33" s="50">
        <v>100</v>
      </c>
      <c r="BD33" s="49">
        <v>6</v>
      </c>
      <c r="BE33" s="49"/>
      <c r="BF33" s="49"/>
      <c r="BG33" s="49"/>
      <c r="BH33" s="49"/>
      <c r="BI33" s="49"/>
      <c r="BJ33" s="49"/>
      <c r="BK33" s="111" t="s">
        <v>1239</v>
      </c>
      <c r="BL33" s="111" t="s">
        <v>1239</v>
      </c>
      <c r="BM33" s="111" t="s">
        <v>1239</v>
      </c>
      <c r="BN33" s="111" t="s">
        <v>1239</v>
      </c>
      <c r="BO33" s="2"/>
      <c r="BP33" s="3"/>
      <c r="BQ33" s="3"/>
      <c r="BR33" s="3"/>
      <c r="BS33" s="3"/>
    </row>
    <row r="34" spans="1:71" ht="15">
      <c r="A34" s="65" t="s">
        <v>363</v>
      </c>
      <c r="B34" s="66"/>
      <c r="C34" s="66"/>
      <c r="D34" s="67">
        <v>150</v>
      </c>
      <c r="E34" s="69"/>
      <c r="F34" s="103" t="str">
        <f>HYPERLINK("https://yt3.ggpht.com/ytc/AKedOLRHbp-BYlwMVfxOOEJ0IdAsWTRv4-C7Hho8Mw=s88-c-k-c0x00ffffff-no-rj")</f>
        <v>https://yt3.ggpht.com/ytc/AKedOLRHbp-BYlwMVfxOOEJ0IdAsWTRv4-C7Hho8Mw=s88-c-k-c0x00ffffff-no-rj</v>
      </c>
      <c r="G34" s="66"/>
      <c r="H34" s="70" t="s">
        <v>876</v>
      </c>
      <c r="I34" s="71"/>
      <c r="J34" s="71" t="s">
        <v>159</v>
      </c>
      <c r="K34" s="70" t="s">
        <v>876</v>
      </c>
      <c r="L34" s="74">
        <v>1</v>
      </c>
      <c r="M34" s="75">
        <v>3821.27392578125</v>
      </c>
      <c r="N34" s="75">
        <v>3159.60693359375</v>
      </c>
      <c r="O34" s="76"/>
      <c r="P34" s="77"/>
      <c r="Q34" s="77"/>
      <c r="R34" s="89"/>
      <c r="S34" s="49">
        <v>0</v>
      </c>
      <c r="T34" s="49">
        <v>1</v>
      </c>
      <c r="U34" s="50">
        <v>0</v>
      </c>
      <c r="V34" s="50">
        <v>0.107837</v>
      </c>
      <c r="W34" s="50">
        <v>0.000343</v>
      </c>
      <c r="X34" s="50">
        <v>0.004135</v>
      </c>
      <c r="Y34" s="50">
        <v>0</v>
      </c>
      <c r="Z34" s="50">
        <v>0</v>
      </c>
      <c r="AA34" s="72">
        <v>34</v>
      </c>
      <c r="AB34" s="72"/>
      <c r="AC34" s="73"/>
      <c r="AD34" s="80" t="s">
        <v>876</v>
      </c>
      <c r="AE34" s="80"/>
      <c r="AF34" s="80"/>
      <c r="AG34" s="80"/>
      <c r="AH34" s="80"/>
      <c r="AI34" s="80"/>
      <c r="AJ34" s="87">
        <v>42282.46202546296</v>
      </c>
      <c r="AK34" s="85" t="str">
        <f>HYPERLINK("https://yt3.ggpht.com/ytc/AKedOLRHbp-BYlwMVfxOOEJ0IdAsWTRv4-C7Hho8Mw=s88-c-k-c0x00ffffff-no-rj")</f>
        <v>https://yt3.ggpht.com/ytc/AKedOLRHbp-BYlwMVfxOOEJ0IdAsWTRv4-C7Hho8Mw=s88-c-k-c0x00ffffff-no-rj</v>
      </c>
      <c r="AL34" s="80">
        <v>3</v>
      </c>
      <c r="AM34" s="80">
        <v>0</v>
      </c>
      <c r="AN34" s="80">
        <v>1</v>
      </c>
      <c r="AO34" s="80" t="b">
        <v>0</v>
      </c>
      <c r="AP34" s="80">
        <v>1</v>
      </c>
      <c r="AQ34" s="80"/>
      <c r="AR34" s="80"/>
      <c r="AS34" s="80" t="s">
        <v>1376</v>
      </c>
      <c r="AT34" s="85" t="str">
        <f>HYPERLINK("https://www.youtube.com/channel/UCg66xuzMQIOjiGIT5PMHOcw")</f>
        <v>https://www.youtube.com/channel/UCg66xuzMQIOjiGIT5PMHOcw</v>
      </c>
      <c r="AU34" s="80" t="str">
        <f>REPLACE(INDEX(GroupVertices[Group],MATCH(Vertices[[#This Row],[Vertex]],GroupVertices[Vertex],0)),1,1,"")</f>
        <v>9</v>
      </c>
      <c r="AV34" s="49">
        <v>0</v>
      </c>
      <c r="AW34" s="50">
        <v>0</v>
      </c>
      <c r="AX34" s="49">
        <v>1</v>
      </c>
      <c r="AY34" s="50">
        <v>9.090909090909092</v>
      </c>
      <c r="AZ34" s="49">
        <v>0</v>
      </c>
      <c r="BA34" s="50">
        <v>0</v>
      </c>
      <c r="BB34" s="49">
        <v>10</v>
      </c>
      <c r="BC34" s="50">
        <v>90.9090909090909</v>
      </c>
      <c r="BD34" s="49">
        <v>11</v>
      </c>
      <c r="BE34" s="49"/>
      <c r="BF34" s="49"/>
      <c r="BG34" s="49"/>
      <c r="BH34" s="49"/>
      <c r="BI34" s="49"/>
      <c r="BJ34" s="49"/>
      <c r="BK34" s="111" t="s">
        <v>1520</v>
      </c>
      <c r="BL34" s="111" t="s">
        <v>1520</v>
      </c>
      <c r="BM34" s="111" t="s">
        <v>1239</v>
      </c>
      <c r="BN34" s="111" t="s">
        <v>1239</v>
      </c>
      <c r="BO34" s="2"/>
      <c r="BP34" s="3"/>
      <c r="BQ34" s="3"/>
      <c r="BR34" s="3"/>
      <c r="BS34" s="3"/>
    </row>
    <row r="35" spans="1:71" ht="15">
      <c r="A35" s="65" t="s">
        <v>364</v>
      </c>
      <c r="B35" s="66"/>
      <c r="C35" s="66"/>
      <c r="D35" s="67">
        <v>358.42911877394636</v>
      </c>
      <c r="E35" s="69"/>
      <c r="F35" s="103" t="str">
        <f>HYPERLINK("https://yt3.ggpht.com/ytc/AKedOLQlH9e7EUVk0ueaJVvx9VjZTQhlm9xN8-GZKw=s88-c-k-c0x00ffffff-no-rj")</f>
        <v>https://yt3.ggpht.com/ytc/AKedOLQlH9e7EUVk0ueaJVvx9VjZTQhlm9xN8-GZKw=s88-c-k-c0x00ffffff-no-rj</v>
      </c>
      <c r="G35" s="66"/>
      <c r="H35" s="70" t="s">
        <v>877</v>
      </c>
      <c r="I35" s="71"/>
      <c r="J35" s="71" t="s">
        <v>75</v>
      </c>
      <c r="K35" s="70" t="s">
        <v>877</v>
      </c>
      <c r="L35" s="74">
        <v>185.61174490149398</v>
      </c>
      <c r="M35" s="75">
        <v>4432.84423828125</v>
      </c>
      <c r="N35" s="75">
        <v>3210.54931640625</v>
      </c>
      <c r="O35" s="76"/>
      <c r="P35" s="77"/>
      <c r="Q35" s="77"/>
      <c r="R35" s="89"/>
      <c r="S35" s="49">
        <v>1</v>
      </c>
      <c r="T35" s="49">
        <v>1</v>
      </c>
      <c r="U35" s="50">
        <v>256</v>
      </c>
      <c r="V35" s="50">
        <v>0.132311</v>
      </c>
      <c r="W35" s="50">
        <v>0.003051</v>
      </c>
      <c r="X35" s="50">
        <v>0.004538</v>
      </c>
      <c r="Y35" s="50">
        <v>0</v>
      </c>
      <c r="Z35" s="50">
        <v>0</v>
      </c>
      <c r="AA35" s="72">
        <v>35</v>
      </c>
      <c r="AB35" s="72"/>
      <c r="AC35" s="73"/>
      <c r="AD35" s="80" t="s">
        <v>877</v>
      </c>
      <c r="AE35" s="80"/>
      <c r="AF35" s="80"/>
      <c r="AG35" s="80"/>
      <c r="AH35" s="80"/>
      <c r="AI35" s="80"/>
      <c r="AJ35" s="87">
        <v>41754.56140046296</v>
      </c>
      <c r="AK35" s="85" t="str">
        <f>HYPERLINK("https://yt3.ggpht.com/ytc/AKedOLQlH9e7EUVk0ueaJVvx9VjZTQhlm9xN8-GZKw=s88-c-k-c0x00ffffff-no-rj")</f>
        <v>https://yt3.ggpht.com/ytc/AKedOLQlH9e7EUVk0ueaJVvx9VjZTQhlm9xN8-GZKw=s88-c-k-c0x00ffffff-no-rj</v>
      </c>
      <c r="AL35" s="80">
        <v>18</v>
      </c>
      <c r="AM35" s="80">
        <v>0</v>
      </c>
      <c r="AN35" s="80">
        <v>1</v>
      </c>
      <c r="AO35" s="80" t="b">
        <v>0</v>
      </c>
      <c r="AP35" s="80">
        <v>2</v>
      </c>
      <c r="AQ35" s="80"/>
      <c r="AR35" s="80"/>
      <c r="AS35" s="80" t="s">
        <v>1376</v>
      </c>
      <c r="AT35" s="85" t="str">
        <f>HYPERLINK("https://www.youtube.com/channel/UCo6gG1_nUsjZvN4gMpjdGZA")</f>
        <v>https://www.youtube.com/channel/UCo6gG1_nUsjZvN4gMpjdGZA</v>
      </c>
      <c r="AU35" s="80" t="str">
        <f>REPLACE(INDEX(GroupVertices[Group],MATCH(Vertices[[#This Row],[Vertex]],GroupVertices[Vertex],0)),1,1,"")</f>
        <v>9</v>
      </c>
      <c r="AV35" s="49">
        <v>0</v>
      </c>
      <c r="AW35" s="50">
        <v>0</v>
      </c>
      <c r="AX35" s="49">
        <v>2</v>
      </c>
      <c r="AY35" s="50">
        <v>4.444444444444445</v>
      </c>
      <c r="AZ35" s="49">
        <v>0</v>
      </c>
      <c r="BA35" s="50">
        <v>0</v>
      </c>
      <c r="BB35" s="49">
        <v>43</v>
      </c>
      <c r="BC35" s="50">
        <v>95.55555555555556</v>
      </c>
      <c r="BD35" s="49">
        <v>45</v>
      </c>
      <c r="BE35" s="49"/>
      <c r="BF35" s="49"/>
      <c r="BG35" s="49"/>
      <c r="BH35" s="49"/>
      <c r="BI35" s="49"/>
      <c r="BJ35" s="49"/>
      <c r="BK35" s="111" t="s">
        <v>2378</v>
      </c>
      <c r="BL35" s="111" t="s">
        <v>2378</v>
      </c>
      <c r="BM35" s="111" t="s">
        <v>2569</v>
      </c>
      <c r="BN35" s="111" t="s">
        <v>2569</v>
      </c>
      <c r="BO35" s="2"/>
      <c r="BP35" s="3"/>
      <c r="BQ35" s="3"/>
      <c r="BR35" s="3"/>
      <c r="BS35" s="3"/>
    </row>
    <row r="36" spans="1:71" ht="15">
      <c r="A36" s="65" t="s">
        <v>365</v>
      </c>
      <c r="B36" s="66"/>
      <c r="C36" s="66"/>
      <c r="D36" s="67">
        <v>150</v>
      </c>
      <c r="E36" s="69"/>
      <c r="F36" s="103" t="str">
        <f>HYPERLINK("https://yt3.ggpht.com/ytc/AKedOLRjN5HGfImjSyfX_AMMRXfbm6yzZDjZnIY3TuiJ2g=s88-c-k-c0x00ffffff-no-rj")</f>
        <v>https://yt3.ggpht.com/ytc/AKedOLRjN5HGfImjSyfX_AMMRXfbm6yzZDjZnIY3TuiJ2g=s88-c-k-c0x00ffffff-no-rj</v>
      </c>
      <c r="G36" s="66"/>
      <c r="H36" s="70" t="s">
        <v>878</v>
      </c>
      <c r="I36" s="71"/>
      <c r="J36" s="71" t="s">
        <v>159</v>
      </c>
      <c r="K36" s="70" t="s">
        <v>878</v>
      </c>
      <c r="L36" s="74">
        <v>1</v>
      </c>
      <c r="M36" s="75">
        <v>2536.5810546875</v>
      </c>
      <c r="N36" s="75">
        <v>8667.7578125</v>
      </c>
      <c r="O36" s="76"/>
      <c r="P36" s="77"/>
      <c r="Q36" s="77"/>
      <c r="R36" s="89"/>
      <c r="S36" s="49">
        <v>0</v>
      </c>
      <c r="T36" s="49">
        <v>1</v>
      </c>
      <c r="U36" s="50">
        <v>0</v>
      </c>
      <c r="V36" s="50">
        <v>0.189881</v>
      </c>
      <c r="W36" s="50">
        <v>0.080745</v>
      </c>
      <c r="X36" s="50">
        <v>0.003874</v>
      </c>
      <c r="Y36" s="50">
        <v>0</v>
      </c>
      <c r="Z36" s="50">
        <v>0</v>
      </c>
      <c r="AA36" s="72">
        <v>36</v>
      </c>
      <c r="AB36" s="72"/>
      <c r="AC36" s="73"/>
      <c r="AD36" s="80" t="s">
        <v>878</v>
      </c>
      <c r="AE36" s="80"/>
      <c r="AF36" s="80"/>
      <c r="AG36" s="80"/>
      <c r="AH36" s="80"/>
      <c r="AI36" s="80"/>
      <c r="AJ36" s="87">
        <v>40652.45596064815</v>
      </c>
      <c r="AK36" s="85" t="str">
        <f>HYPERLINK("https://yt3.ggpht.com/ytc/AKedOLRjN5HGfImjSyfX_AMMRXfbm6yzZDjZnIY3TuiJ2g=s88-c-k-c0x00ffffff-no-rj")</f>
        <v>https://yt3.ggpht.com/ytc/AKedOLRjN5HGfImjSyfX_AMMRXfbm6yzZDjZnIY3TuiJ2g=s88-c-k-c0x00ffffff-no-rj</v>
      </c>
      <c r="AL36" s="80">
        <v>744</v>
      </c>
      <c r="AM36" s="80">
        <v>0</v>
      </c>
      <c r="AN36" s="80">
        <v>4</v>
      </c>
      <c r="AO36" s="80" t="b">
        <v>0</v>
      </c>
      <c r="AP36" s="80">
        <v>5</v>
      </c>
      <c r="AQ36" s="80"/>
      <c r="AR36" s="80"/>
      <c r="AS36" s="80" t="s">
        <v>1376</v>
      </c>
      <c r="AT36" s="85" t="str">
        <f>HYPERLINK("https://www.youtube.com/channel/UCJNdQJZz7IuBgHWIIoJBvJg")</f>
        <v>https://www.youtube.com/channel/UCJNdQJZz7IuBgHWIIoJBvJg</v>
      </c>
      <c r="AU36" s="80" t="str">
        <f>REPLACE(INDEX(GroupVertices[Group],MATCH(Vertices[[#This Row],[Vertex]],GroupVertices[Vertex],0)),1,1,"")</f>
        <v>1</v>
      </c>
      <c r="AV36" s="49">
        <v>5</v>
      </c>
      <c r="AW36" s="50">
        <v>10</v>
      </c>
      <c r="AX36" s="49">
        <v>0</v>
      </c>
      <c r="AY36" s="50">
        <v>0</v>
      </c>
      <c r="AZ36" s="49">
        <v>0</v>
      </c>
      <c r="BA36" s="50">
        <v>0</v>
      </c>
      <c r="BB36" s="49">
        <v>45</v>
      </c>
      <c r="BC36" s="50">
        <v>90</v>
      </c>
      <c r="BD36" s="49">
        <v>50</v>
      </c>
      <c r="BE36" s="49"/>
      <c r="BF36" s="49"/>
      <c r="BG36" s="49"/>
      <c r="BH36" s="49"/>
      <c r="BI36" s="49"/>
      <c r="BJ36" s="49"/>
      <c r="BK36" s="111" t="s">
        <v>2379</v>
      </c>
      <c r="BL36" s="111" t="s">
        <v>2379</v>
      </c>
      <c r="BM36" s="111" t="s">
        <v>2570</v>
      </c>
      <c r="BN36" s="111" t="s">
        <v>2570</v>
      </c>
      <c r="BO36" s="2"/>
      <c r="BP36" s="3"/>
      <c r="BQ36" s="3"/>
      <c r="BR36" s="3"/>
      <c r="BS36" s="3"/>
    </row>
    <row r="37" spans="1:71" ht="15">
      <c r="A37" s="65" t="s">
        <v>369</v>
      </c>
      <c r="B37" s="66"/>
      <c r="C37" s="66"/>
      <c r="D37" s="67">
        <v>1000</v>
      </c>
      <c r="E37" s="69"/>
      <c r="F37" s="103" t="str">
        <f>HYPERLINK("https://yt3.ggpht.com/ytc/AKedOLS7GQHvs1ULP6UHbvDorkDOHahVYScVrY04ccFlRic=s88-c-k-c0x00ffffff-no-rj")</f>
        <v>https://yt3.ggpht.com/ytc/AKedOLS7GQHvs1ULP6UHbvDorkDOHahVYScVrY04ccFlRic=s88-c-k-c0x00ffffff-no-rj</v>
      </c>
      <c r="G37" s="66"/>
      <c r="H37" s="70" t="s">
        <v>882</v>
      </c>
      <c r="I37" s="71"/>
      <c r="J37" s="71" t="s">
        <v>75</v>
      </c>
      <c r="K37" s="70" t="s">
        <v>882</v>
      </c>
      <c r="L37" s="74">
        <v>9999</v>
      </c>
      <c r="M37" s="75">
        <v>1845.051513671875</v>
      </c>
      <c r="N37" s="75">
        <v>6087.9541015625</v>
      </c>
      <c r="O37" s="76"/>
      <c r="P37" s="77"/>
      <c r="Q37" s="77"/>
      <c r="R37" s="89"/>
      <c r="S37" s="49">
        <v>69</v>
      </c>
      <c r="T37" s="49">
        <v>25</v>
      </c>
      <c r="U37" s="50">
        <v>13864.166667</v>
      </c>
      <c r="V37" s="50">
        <v>0.281597</v>
      </c>
      <c r="W37" s="50">
        <v>0.719264</v>
      </c>
      <c r="X37" s="50">
        <v>0.036599</v>
      </c>
      <c r="Y37" s="50">
        <v>0.00021949078138718174</v>
      </c>
      <c r="Z37" s="50">
        <v>0.35294117647058826</v>
      </c>
      <c r="AA37" s="72">
        <v>37</v>
      </c>
      <c r="AB37" s="72"/>
      <c r="AC37" s="73"/>
      <c r="AD37" s="80" t="s">
        <v>882</v>
      </c>
      <c r="AE37" s="80" t="s">
        <v>1299</v>
      </c>
      <c r="AF37" s="80"/>
      <c r="AG37" s="80"/>
      <c r="AH37" s="80"/>
      <c r="AI37" s="80" t="s">
        <v>1349</v>
      </c>
      <c r="AJ37" s="87">
        <v>40831.02506944445</v>
      </c>
      <c r="AK37" s="85" t="str">
        <f>HYPERLINK("https://yt3.ggpht.com/ytc/AKedOLS7GQHvs1ULP6UHbvDorkDOHahVYScVrY04ccFlRic=s88-c-k-c0x00ffffff-no-rj")</f>
        <v>https://yt3.ggpht.com/ytc/AKedOLS7GQHvs1ULP6UHbvDorkDOHahVYScVrY04ccFlRic=s88-c-k-c0x00ffffff-no-rj</v>
      </c>
      <c r="AL37" s="80">
        <v>1007946</v>
      </c>
      <c r="AM37" s="80">
        <v>0</v>
      </c>
      <c r="AN37" s="80">
        <v>8180</v>
      </c>
      <c r="AO37" s="80" t="b">
        <v>0</v>
      </c>
      <c r="AP37" s="80">
        <v>295</v>
      </c>
      <c r="AQ37" s="80"/>
      <c r="AR37" s="80"/>
      <c r="AS37" s="80" t="s">
        <v>1376</v>
      </c>
      <c r="AT37" s="85" t="str">
        <f>HYPERLINK("https://www.youtube.com/channel/UCerAw4EfTOnYYxLLPZAzMxQ")</f>
        <v>https://www.youtube.com/channel/UCerAw4EfTOnYYxLLPZAzMxQ</v>
      </c>
      <c r="AU37" s="80" t="str">
        <f>REPLACE(INDEX(GroupVertices[Group],MATCH(Vertices[[#This Row],[Vertex]],GroupVertices[Vertex],0)),1,1,"")</f>
        <v>1</v>
      </c>
      <c r="AV37" s="49">
        <v>67</v>
      </c>
      <c r="AW37" s="50">
        <v>2.662957074721781</v>
      </c>
      <c r="AX37" s="49">
        <v>27</v>
      </c>
      <c r="AY37" s="50">
        <v>1.0731319554848966</v>
      </c>
      <c r="AZ37" s="49">
        <v>0</v>
      </c>
      <c r="BA37" s="50">
        <v>0</v>
      </c>
      <c r="BB37" s="49">
        <v>2422</v>
      </c>
      <c r="BC37" s="50">
        <v>96.26391096979333</v>
      </c>
      <c r="BD37" s="49">
        <v>2516</v>
      </c>
      <c r="BE37" s="49" t="s">
        <v>2336</v>
      </c>
      <c r="BF37" s="49" t="s">
        <v>2342</v>
      </c>
      <c r="BG37" s="49" t="s">
        <v>2347</v>
      </c>
      <c r="BH37" s="49" t="s">
        <v>2352</v>
      </c>
      <c r="BI37" s="49"/>
      <c r="BJ37" s="49"/>
      <c r="BK37" s="111" t="s">
        <v>2380</v>
      </c>
      <c r="BL37" s="111" t="s">
        <v>2524</v>
      </c>
      <c r="BM37" s="111" t="s">
        <v>2571</v>
      </c>
      <c r="BN37" s="111" t="s">
        <v>2709</v>
      </c>
      <c r="BO37" s="2"/>
      <c r="BP37" s="3"/>
      <c r="BQ37" s="3"/>
      <c r="BR37" s="3"/>
      <c r="BS37" s="3"/>
    </row>
    <row r="38" spans="1:71" ht="15">
      <c r="A38" s="65" t="s">
        <v>366</v>
      </c>
      <c r="B38" s="66"/>
      <c r="C38" s="66"/>
      <c r="D38" s="67">
        <v>150</v>
      </c>
      <c r="E38" s="69"/>
      <c r="F38" s="103" t="str">
        <f>HYPERLINK("https://yt3.ggpht.com/ytc/AKedOLTJuIDGTAQ5uCUx9oMQE4_AhnbUpMjVIX2oUFF4iw=s88-c-k-c0x00ffffff-no-rj")</f>
        <v>https://yt3.ggpht.com/ytc/AKedOLTJuIDGTAQ5uCUx9oMQE4_AhnbUpMjVIX2oUFF4iw=s88-c-k-c0x00ffffff-no-rj</v>
      </c>
      <c r="G38" s="66"/>
      <c r="H38" s="70" t="s">
        <v>879</v>
      </c>
      <c r="I38" s="71"/>
      <c r="J38" s="71" t="s">
        <v>159</v>
      </c>
      <c r="K38" s="70" t="s">
        <v>879</v>
      </c>
      <c r="L38" s="74">
        <v>1</v>
      </c>
      <c r="M38" s="75">
        <v>8109.59228515625</v>
      </c>
      <c r="N38" s="75">
        <v>1838.051513671875</v>
      </c>
      <c r="O38" s="76"/>
      <c r="P38" s="77"/>
      <c r="Q38" s="77"/>
      <c r="R38" s="89"/>
      <c r="S38" s="49">
        <v>0</v>
      </c>
      <c r="T38" s="49">
        <v>1</v>
      </c>
      <c r="U38" s="50">
        <v>0</v>
      </c>
      <c r="V38" s="50">
        <v>0.143783</v>
      </c>
      <c r="W38" s="50">
        <v>0.00918</v>
      </c>
      <c r="X38" s="50">
        <v>0.004132</v>
      </c>
      <c r="Y38" s="50">
        <v>0</v>
      </c>
      <c r="Z38" s="50">
        <v>0</v>
      </c>
      <c r="AA38" s="72">
        <v>38</v>
      </c>
      <c r="AB38" s="72"/>
      <c r="AC38" s="73"/>
      <c r="AD38" s="80" t="s">
        <v>879</v>
      </c>
      <c r="AE38" s="80"/>
      <c r="AF38" s="80"/>
      <c r="AG38" s="80"/>
      <c r="AH38" s="80"/>
      <c r="AI38" s="80"/>
      <c r="AJ38" s="87">
        <v>41218.393483796295</v>
      </c>
      <c r="AK38" s="85" t="str">
        <f>HYPERLINK("https://yt3.ggpht.com/ytc/AKedOLTJuIDGTAQ5uCUx9oMQE4_AhnbUpMjVIX2oUFF4iw=s88-c-k-c0x00ffffff-no-rj")</f>
        <v>https://yt3.ggpht.com/ytc/AKedOLTJuIDGTAQ5uCUx9oMQE4_AhnbUpMjVIX2oUFF4iw=s88-c-k-c0x00ffffff-no-rj</v>
      </c>
      <c r="AL38" s="80">
        <v>0</v>
      </c>
      <c r="AM38" s="80">
        <v>0</v>
      </c>
      <c r="AN38" s="80">
        <v>1</v>
      </c>
      <c r="AO38" s="80" t="b">
        <v>0</v>
      </c>
      <c r="AP38" s="80">
        <v>0</v>
      </c>
      <c r="AQ38" s="80"/>
      <c r="AR38" s="80"/>
      <c r="AS38" s="80" t="s">
        <v>1376</v>
      </c>
      <c r="AT38" s="85" t="str">
        <f>HYPERLINK("https://www.youtube.com/channel/UCDmMHvluQEXqJgF4docP0yA")</f>
        <v>https://www.youtube.com/channel/UCDmMHvluQEXqJgF4docP0yA</v>
      </c>
      <c r="AU38" s="80" t="str">
        <f>REPLACE(INDEX(GroupVertices[Group],MATCH(Vertices[[#This Row],[Vertex]],GroupVertices[Vertex],0)),1,1,"")</f>
        <v>22</v>
      </c>
      <c r="AV38" s="49">
        <v>1</v>
      </c>
      <c r="AW38" s="50">
        <v>1.098901098901099</v>
      </c>
      <c r="AX38" s="49">
        <v>0</v>
      </c>
      <c r="AY38" s="50">
        <v>0</v>
      </c>
      <c r="AZ38" s="49">
        <v>0</v>
      </c>
      <c r="BA38" s="50">
        <v>0</v>
      </c>
      <c r="BB38" s="49">
        <v>90</v>
      </c>
      <c r="BC38" s="50">
        <v>98.9010989010989</v>
      </c>
      <c r="BD38" s="49">
        <v>91</v>
      </c>
      <c r="BE38" s="49" t="s">
        <v>2169</v>
      </c>
      <c r="BF38" s="49" t="s">
        <v>2169</v>
      </c>
      <c r="BG38" s="49" t="s">
        <v>2193</v>
      </c>
      <c r="BH38" s="49" t="s">
        <v>2193</v>
      </c>
      <c r="BI38" s="49"/>
      <c r="BJ38" s="49"/>
      <c r="BK38" s="111" t="s">
        <v>2381</v>
      </c>
      <c r="BL38" s="111" t="s">
        <v>2381</v>
      </c>
      <c r="BM38" s="111" t="s">
        <v>2572</v>
      </c>
      <c r="BN38" s="111" t="s">
        <v>2572</v>
      </c>
      <c r="BO38" s="2"/>
      <c r="BP38" s="3"/>
      <c r="BQ38" s="3"/>
      <c r="BR38" s="3"/>
      <c r="BS38" s="3"/>
    </row>
    <row r="39" spans="1:71" ht="15">
      <c r="A39" s="65" t="s">
        <v>367</v>
      </c>
      <c r="B39" s="66"/>
      <c r="C39" s="66"/>
      <c r="D39" s="67">
        <v>358.42911877394636</v>
      </c>
      <c r="E39" s="69"/>
      <c r="F39" s="103" t="str">
        <f>HYPERLINK("https://yt3.ggpht.com/ytc/AKedOLRvT067qrM4A8qvCkN4NaSfq_amVnmmTzodR0JJ7Q=s88-c-k-c0x00ffffff-no-rj")</f>
        <v>https://yt3.ggpht.com/ytc/AKedOLRvT067qrM4A8qvCkN4NaSfq_amVnmmTzodR0JJ7Q=s88-c-k-c0x00ffffff-no-rj</v>
      </c>
      <c r="G39" s="66"/>
      <c r="H39" s="70" t="s">
        <v>880</v>
      </c>
      <c r="I39" s="71"/>
      <c r="J39" s="71" t="s">
        <v>75</v>
      </c>
      <c r="K39" s="70" t="s">
        <v>880</v>
      </c>
      <c r="L39" s="74">
        <v>185.61174490149398</v>
      </c>
      <c r="M39" s="75">
        <v>8109.59228515625</v>
      </c>
      <c r="N39" s="75">
        <v>1396.9190673828125</v>
      </c>
      <c r="O39" s="76"/>
      <c r="P39" s="77"/>
      <c r="Q39" s="77"/>
      <c r="R39" s="89"/>
      <c r="S39" s="49">
        <v>1</v>
      </c>
      <c r="T39" s="49">
        <v>1</v>
      </c>
      <c r="U39" s="50">
        <v>256</v>
      </c>
      <c r="V39" s="50">
        <v>0.190852</v>
      </c>
      <c r="W39" s="50">
        <v>0.081776</v>
      </c>
      <c r="X39" s="50">
        <v>0.004494</v>
      </c>
      <c r="Y39" s="50">
        <v>0</v>
      </c>
      <c r="Z39" s="50">
        <v>0</v>
      </c>
      <c r="AA39" s="72">
        <v>39</v>
      </c>
      <c r="AB39" s="72"/>
      <c r="AC39" s="73"/>
      <c r="AD39" s="80" t="s">
        <v>880</v>
      </c>
      <c r="AE39" s="80"/>
      <c r="AF39" s="80"/>
      <c r="AG39" s="80"/>
      <c r="AH39" s="80"/>
      <c r="AI39" s="80"/>
      <c r="AJ39" s="87">
        <v>40750.518009259256</v>
      </c>
      <c r="AK39" s="85" t="str">
        <f>HYPERLINK("https://yt3.ggpht.com/ytc/AKedOLRvT067qrM4A8qvCkN4NaSfq_amVnmmTzodR0JJ7Q=s88-c-k-c0x00ffffff-no-rj")</f>
        <v>https://yt3.ggpht.com/ytc/AKedOLRvT067qrM4A8qvCkN4NaSfq_amVnmmTzodR0JJ7Q=s88-c-k-c0x00ffffff-no-rj</v>
      </c>
      <c r="AL39" s="80">
        <v>0</v>
      </c>
      <c r="AM39" s="80">
        <v>0</v>
      </c>
      <c r="AN39" s="80">
        <v>0</v>
      </c>
      <c r="AO39" s="80" t="b">
        <v>0</v>
      </c>
      <c r="AP39" s="80">
        <v>0</v>
      </c>
      <c r="AQ39" s="80"/>
      <c r="AR39" s="80"/>
      <c r="AS39" s="80" t="s">
        <v>1376</v>
      </c>
      <c r="AT39" s="85" t="str">
        <f>HYPERLINK("https://www.youtube.com/channel/UC5J008IAlx4366lCisVipIg")</f>
        <v>https://www.youtube.com/channel/UC5J008IAlx4366lCisVipIg</v>
      </c>
      <c r="AU39" s="80" t="str">
        <f>REPLACE(INDEX(GroupVertices[Group],MATCH(Vertices[[#This Row],[Vertex]],GroupVertices[Vertex],0)),1,1,"")</f>
        <v>22</v>
      </c>
      <c r="AV39" s="49">
        <v>1</v>
      </c>
      <c r="AW39" s="50">
        <v>50</v>
      </c>
      <c r="AX39" s="49">
        <v>0</v>
      </c>
      <c r="AY39" s="50">
        <v>0</v>
      </c>
      <c r="AZ39" s="49">
        <v>0</v>
      </c>
      <c r="BA39" s="50">
        <v>0</v>
      </c>
      <c r="BB39" s="49">
        <v>1</v>
      </c>
      <c r="BC39" s="50">
        <v>50</v>
      </c>
      <c r="BD39" s="49">
        <v>2</v>
      </c>
      <c r="BE39" s="49"/>
      <c r="BF39" s="49"/>
      <c r="BG39" s="49"/>
      <c r="BH39" s="49"/>
      <c r="BI39" s="49"/>
      <c r="BJ39" s="49"/>
      <c r="BK39" s="111" t="s">
        <v>2382</v>
      </c>
      <c r="BL39" s="111" t="s">
        <v>2382</v>
      </c>
      <c r="BM39" s="111" t="s">
        <v>2573</v>
      </c>
      <c r="BN39" s="111" t="s">
        <v>2573</v>
      </c>
      <c r="BO39" s="2"/>
      <c r="BP39" s="3"/>
      <c r="BQ39" s="3"/>
      <c r="BR39" s="3"/>
      <c r="BS39" s="3"/>
    </row>
    <row r="40" spans="1:71" ht="15">
      <c r="A40" s="65" t="s">
        <v>368</v>
      </c>
      <c r="B40" s="66"/>
      <c r="C40" s="66"/>
      <c r="D40" s="67">
        <v>150</v>
      </c>
      <c r="E40" s="69"/>
      <c r="F40" s="103" t="str">
        <f>HYPERLINK("https://yt3.ggpht.com/ytc/AKedOLRlneBUNa2nRoJsV2nHXRrpvOJAjz1gBsAv8tDYRwg=s88-c-k-c0x00ffffff-no-rj")</f>
        <v>https://yt3.ggpht.com/ytc/AKedOLRlneBUNa2nRoJsV2nHXRrpvOJAjz1gBsAv8tDYRwg=s88-c-k-c0x00ffffff-no-rj</v>
      </c>
      <c r="G40" s="66"/>
      <c r="H40" s="70" t="s">
        <v>881</v>
      </c>
      <c r="I40" s="71"/>
      <c r="J40" s="71" t="s">
        <v>159</v>
      </c>
      <c r="K40" s="70" t="s">
        <v>881</v>
      </c>
      <c r="L40" s="74">
        <v>1</v>
      </c>
      <c r="M40" s="75">
        <v>1320.171142578125</v>
      </c>
      <c r="N40" s="75">
        <v>8991.5185546875</v>
      </c>
      <c r="O40" s="76"/>
      <c r="P40" s="77"/>
      <c r="Q40" s="77"/>
      <c r="R40" s="89"/>
      <c r="S40" s="49">
        <v>0</v>
      </c>
      <c r="T40" s="49">
        <v>1</v>
      </c>
      <c r="U40" s="50">
        <v>0</v>
      </c>
      <c r="V40" s="50">
        <v>0.189881</v>
      </c>
      <c r="W40" s="50">
        <v>0.080745</v>
      </c>
      <c r="X40" s="50">
        <v>0.003874</v>
      </c>
      <c r="Y40" s="50">
        <v>0</v>
      </c>
      <c r="Z40" s="50">
        <v>0</v>
      </c>
      <c r="AA40" s="72">
        <v>40</v>
      </c>
      <c r="AB40" s="72"/>
      <c r="AC40" s="73"/>
      <c r="AD40" s="80" t="s">
        <v>881</v>
      </c>
      <c r="AE40" s="80"/>
      <c r="AF40" s="80"/>
      <c r="AG40" s="80"/>
      <c r="AH40" s="80"/>
      <c r="AI40" s="80"/>
      <c r="AJ40" s="87">
        <v>39362.3669212963</v>
      </c>
      <c r="AK40" s="85" t="str">
        <f>HYPERLINK("https://yt3.ggpht.com/ytc/AKedOLRlneBUNa2nRoJsV2nHXRrpvOJAjz1gBsAv8tDYRwg=s88-c-k-c0x00ffffff-no-rj")</f>
        <v>https://yt3.ggpht.com/ytc/AKedOLRlneBUNa2nRoJsV2nHXRrpvOJAjz1gBsAv8tDYRwg=s88-c-k-c0x00ffffff-no-rj</v>
      </c>
      <c r="AL40" s="80">
        <v>22</v>
      </c>
      <c r="AM40" s="80">
        <v>0</v>
      </c>
      <c r="AN40" s="80">
        <v>0</v>
      </c>
      <c r="AO40" s="80" t="b">
        <v>0</v>
      </c>
      <c r="AP40" s="80">
        <v>1</v>
      </c>
      <c r="AQ40" s="80"/>
      <c r="AR40" s="80"/>
      <c r="AS40" s="80" t="s">
        <v>1376</v>
      </c>
      <c r="AT40" s="85" t="str">
        <f>HYPERLINK("https://www.youtube.com/channel/UCPvgd5mNI79yGYL0hJAKReA")</f>
        <v>https://www.youtube.com/channel/UCPvgd5mNI79yGYL0hJAKReA</v>
      </c>
      <c r="AU40" s="80" t="str">
        <f>REPLACE(INDEX(GroupVertices[Group],MATCH(Vertices[[#This Row],[Vertex]],GroupVertices[Vertex],0)),1,1,"")</f>
        <v>1</v>
      </c>
      <c r="AV40" s="49">
        <v>2</v>
      </c>
      <c r="AW40" s="50">
        <v>8</v>
      </c>
      <c r="AX40" s="49">
        <v>0</v>
      </c>
      <c r="AY40" s="50">
        <v>0</v>
      </c>
      <c r="AZ40" s="49">
        <v>0</v>
      </c>
      <c r="BA40" s="50">
        <v>0</v>
      </c>
      <c r="BB40" s="49">
        <v>23</v>
      </c>
      <c r="BC40" s="50">
        <v>92</v>
      </c>
      <c r="BD40" s="49">
        <v>25</v>
      </c>
      <c r="BE40" s="49"/>
      <c r="BF40" s="49"/>
      <c r="BG40" s="49"/>
      <c r="BH40" s="49"/>
      <c r="BI40" s="49"/>
      <c r="BJ40" s="49"/>
      <c r="BK40" s="111" t="s">
        <v>2383</v>
      </c>
      <c r="BL40" s="111" t="s">
        <v>2383</v>
      </c>
      <c r="BM40" s="111" t="s">
        <v>2574</v>
      </c>
      <c r="BN40" s="111" t="s">
        <v>2574</v>
      </c>
      <c r="BO40" s="2"/>
      <c r="BP40" s="3"/>
      <c r="BQ40" s="3"/>
      <c r="BR40" s="3"/>
      <c r="BS40" s="3"/>
    </row>
    <row r="41" spans="1:71" ht="15">
      <c r="A41" s="65" t="s">
        <v>370</v>
      </c>
      <c r="B41" s="66"/>
      <c r="C41" s="66"/>
      <c r="D41" s="67">
        <v>150</v>
      </c>
      <c r="E41" s="69"/>
      <c r="F41" s="103" t="str">
        <f>HYPERLINK("https://yt3.ggpht.com/ytc/AKedOLQ6km972tS5ZmY7yWxARan4NIvLJNUm8o1_ZFpPgw=s88-c-k-c0x00ffffff-no-rj")</f>
        <v>https://yt3.ggpht.com/ytc/AKedOLQ6km972tS5ZmY7yWxARan4NIvLJNUm8o1_ZFpPgw=s88-c-k-c0x00ffffff-no-rj</v>
      </c>
      <c r="G41" s="66"/>
      <c r="H41" s="70" t="s">
        <v>883</v>
      </c>
      <c r="I41" s="71"/>
      <c r="J41" s="71" t="s">
        <v>159</v>
      </c>
      <c r="K41" s="70" t="s">
        <v>883</v>
      </c>
      <c r="L41" s="74">
        <v>1</v>
      </c>
      <c r="M41" s="75">
        <v>1809.454345703125</v>
      </c>
      <c r="N41" s="75">
        <v>2720.316162109375</v>
      </c>
      <c r="O41" s="76"/>
      <c r="P41" s="77"/>
      <c r="Q41" s="77"/>
      <c r="R41" s="89"/>
      <c r="S41" s="49">
        <v>2</v>
      </c>
      <c r="T41" s="49">
        <v>2</v>
      </c>
      <c r="U41" s="50">
        <v>0</v>
      </c>
      <c r="V41" s="50">
        <v>0.189881</v>
      </c>
      <c r="W41" s="50">
        <v>0.090956</v>
      </c>
      <c r="X41" s="50">
        <v>0.004188</v>
      </c>
      <c r="Y41" s="50">
        <v>0</v>
      </c>
      <c r="Z41" s="50">
        <v>1</v>
      </c>
      <c r="AA41" s="72">
        <v>41</v>
      </c>
      <c r="AB41" s="72"/>
      <c r="AC41" s="73"/>
      <c r="AD41" s="80" t="s">
        <v>883</v>
      </c>
      <c r="AE41" s="80"/>
      <c r="AF41" s="80"/>
      <c r="AG41" s="80"/>
      <c r="AH41" s="80"/>
      <c r="AI41" s="80" t="s">
        <v>1350</v>
      </c>
      <c r="AJ41" s="87">
        <v>40822.4497337963</v>
      </c>
      <c r="AK41" s="85" t="str">
        <f>HYPERLINK("https://yt3.ggpht.com/ytc/AKedOLQ6km972tS5ZmY7yWxARan4NIvLJNUm8o1_ZFpPgw=s88-c-k-c0x00ffffff-no-rj")</f>
        <v>https://yt3.ggpht.com/ytc/AKedOLQ6km972tS5ZmY7yWxARan4NIvLJNUm8o1_ZFpPgw=s88-c-k-c0x00ffffff-no-rj</v>
      </c>
      <c r="AL41" s="80">
        <v>234596</v>
      </c>
      <c r="AM41" s="80">
        <v>0</v>
      </c>
      <c r="AN41" s="80">
        <v>266</v>
      </c>
      <c r="AO41" s="80" t="b">
        <v>0</v>
      </c>
      <c r="AP41" s="80">
        <v>21</v>
      </c>
      <c r="AQ41" s="80"/>
      <c r="AR41" s="80"/>
      <c r="AS41" s="80" t="s">
        <v>1376</v>
      </c>
      <c r="AT41" s="85" t="str">
        <f>HYPERLINK("https://www.youtube.com/channel/UC8CPBnQ5vh85_8cwZ6gRFBQ")</f>
        <v>https://www.youtube.com/channel/UC8CPBnQ5vh85_8cwZ6gRFBQ</v>
      </c>
      <c r="AU41" s="80" t="str">
        <f>REPLACE(INDEX(GroupVertices[Group],MATCH(Vertices[[#This Row],[Vertex]],GroupVertices[Vertex],0)),1,1,"")</f>
        <v>1</v>
      </c>
      <c r="AV41" s="49">
        <v>7</v>
      </c>
      <c r="AW41" s="50">
        <v>6.481481481481482</v>
      </c>
      <c r="AX41" s="49">
        <v>0</v>
      </c>
      <c r="AY41" s="50">
        <v>0</v>
      </c>
      <c r="AZ41" s="49">
        <v>0</v>
      </c>
      <c r="BA41" s="50">
        <v>0</v>
      </c>
      <c r="BB41" s="49">
        <v>101</v>
      </c>
      <c r="BC41" s="50">
        <v>93.51851851851852</v>
      </c>
      <c r="BD41" s="49">
        <v>108</v>
      </c>
      <c r="BE41" s="49"/>
      <c r="BF41" s="49"/>
      <c r="BG41" s="49"/>
      <c r="BH41" s="49"/>
      <c r="BI41" s="49"/>
      <c r="BJ41" s="49"/>
      <c r="BK41" s="111" t="s">
        <v>2384</v>
      </c>
      <c r="BL41" s="111" t="s">
        <v>2525</v>
      </c>
      <c r="BM41" s="111" t="s">
        <v>2575</v>
      </c>
      <c r="BN41" s="111" t="s">
        <v>2710</v>
      </c>
      <c r="BO41" s="2"/>
      <c r="BP41" s="3"/>
      <c r="BQ41" s="3"/>
      <c r="BR41" s="3"/>
      <c r="BS41" s="3"/>
    </row>
    <row r="42" spans="1:71" ht="15">
      <c r="A42" s="65" t="s">
        <v>371</v>
      </c>
      <c r="B42" s="66"/>
      <c r="C42" s="66"/>
      <c r="D42" s="67">
        <v>743.5344827586207</v>
      </c>
      <c r="E42" s="69"/>
      <c r="F42" s="103" t="str">
        <f>HYPERLINK("https://yt3.ggpht.com/ytc/AKedOLTD2Ljj4fn362ggX35eVn6_kQflqe2r0xrXbw=s88-c-k-c0x00ffffff-no-rj")</f>
        <v>https://yt3.ggpht.com/ytc/AKedOLTD2Ljj4fn362ggX35eVn6_kQflqe2r0xrXbw=s88-c-k-c0x00ffffff-no-rj</v>
      </c>
      <c r="G42" s="66"/>
      <c r="H42" s="70" t="s">
        <v>884</v>
      </c>
      <c r="I42" s="71"/>
      <c r="J42" s="71" t="s">
        <v>75</v>
      </c>
      <c r="K42" s="70" t="s">
        <v>884</v>
      </c>
      <c r="L42" s="74">
        <v>526.710789192145</v>
      </c>
      <c r="M42" s="75">
        <v>4793.158203125</v>
      </c>
      <c r="N42" s="75">
        <v>2476.819580078125</v>
      </c>
      <c r="O42" s="76"/>
      <c r="P42" s="77"/>
      <c r="Q42" s="77"/>
      <c r="R42" s="89"/>
      <c r="S42" s="49">
        <v>0</v>
      </c>
      <c r="T42" s="49">
        <v>2</v>
      </c>
      <c r="U42" s="50">
        <v>729</v>
      </c>
      <c r="V42" s="50">
        <v>0.198996</v>
      </c>
      <c r="W42" s="50">
        <v>0.083758</v>
      </c>
      <c r="X42" s="50">
        <v>0.003997</v>
      </c>
      <c r="Y42" s="50">
        <v>0</v>
      </c>
      <c r="Z42" s="50">
        <v>0</v>
      </c>
      <c r="AA42" s="72">
        <v>42</v>
      </c>
      <c r="AB42" s="72"/>
      <c r="AC42" s="73"/>
      <c r="AD42" s="80" t="s">
        <v>884</v>
      </c>
      <c r="AE42" s="80"/>
      <c r="AF42" s="80"/>
      <c r="AG42" s="80"/>
      <c r="AH42" s="80"/>
      <c r="AI42" s="80"/>
      <c r="AJ42" s="87">
        <v>41839.86221064815</v>
      </c>
      <c r="AK42" s="85" t="str">
        <f>HYPERLINK("https://yt3.ggpht.com/ytc/AKedOLTD2Ljj4fn362ggX35eVn6_kQflqe2r0xrXbw=s88-c-k-c0x00ffffff-no-rj")</f>
        <v>https://yt3.ggpht.com/ytc/AKedOLTD2Ljj4fn362ggX35eVn6_kQflqe2r0xrXbw=s88-c-k-c0x00ffffff-no-rj</v>
      </c>
      <c r="AL42" s="80">
        <v>22</v>
      </c>
      <c r="AM42" s="80">
        <v>0</v>
      </c>
      <c r="AN42" s="80">
        <v>0</v>
      </c>
      <c r="AO42" s="80" t="b">
        <v>0</v>
      </c>
      <c r="AP42" s="80">
        <v>2</v>
      </c>
      <c r="AQ42" s="80"/>
      <c r="AR42" s="80"/>
      <c r="AS42" s="80" t="s">
        <v>1376</v>
      </c>
      <c r="AT42" s="85" t="str">
        <f>HYPERLINK("https://www.youtube.com/channel/UCqV3NeKeh8lNw8bLTheL24g")</f>
        <v>https://www.youtube.com/channel/UCqV3NeKeh8lNw8bLTheL24g</v>
      </c>
      <c r="AU42" s="80" t="str">
        <f>REPLACE(INDEX(GroupVertices[Group],MATCH(Vertices[[#This Row],[Vertex]],GroupVertices[Vertex],0)),1,1,"")</f>
        <v>9</v>
      </c>
      <c r="AV42" s="49">
        <v>4</v>
      </c>
      <c r="AW42" s="50">
        <v>3.7037037037037037</v>
      </c>
      <c r="AX42" s="49">
        <v>0</v>
      </c>
      <c r="AY42" s="50">
        <v>0</v>
      </c>
      <c r="AZ42" s="49">
        <v>0</v>
      </c>
      <c r="BA42" s="50">
        <v>0</v>
      </c>
      <c r="BB42" s="49">
        <v>104</v>
      </c>
      <c r="BC42" s="50">
        <v>96.29629629629629</v>
      </c>
      <c r="BD42" s="49">
        <v>108</v>
      </c>
      <c r="BE42" s="49"/>
      <c r="BF42" s="49"/>
      <c r="BG42" s="49"/>
      <c r="BH42" s="49"/>
      <c r="BI42" s="49"/>
      <c r="BJ42" s="49"/>
      <c r="BK42" s="111" t="s">
        <v>2385</v>
      </c>
      <c r="BL42" s="111" t="s">
        <v>2526</v>
      </c>
      <c r="BM42" s="111" t="s">
        <v>2326</v>
      </c>
      <c r="BN42" s="111" t="s">
        <v>2711</v>
      </c>
      <c r="BO42" s="2"/>
      <c r="BP42" s="3"/>
      <c r="BQ42" s="3"/>
      <c r="BR42" s="3"/>
      <c r="BS42" s="3"/>
    </row>
    <row r="43" spans="1:71" ht="15">
      <c r="A43" s="65" t="s">
        <v>372</v>
      </c>
      <c r="B43" s="66"/>
      <c r="C43" s="66"/>
      <c r="D43" s="67">
        <v>150</v>
      </c>
      <c r="E43" s="69"/>
      <c r="F43" s="103" t="str">
        <f>HYPERLINK("https://yt3.ggpht.com/ytc/AKedOLRzHGEvRe0-NHbpSWm59kRzIyg64ERgxG7MEQR6mg=s88-c-k-c0x00ffffff-no-rj")</f>
        <v>https://yt3.ggpht.com/ytc/AKedOLRzHGEvRe0-NHbpSWm59kRzIyg64ERgxG7MEQR6mg=s88-c-k-c0x00ffffff-no-rj</v>
      </c>
      <c r="G43" s="66"/>
      <c r="H43" s="70" t="s">
        <v>885</v>
      </c>
      <c r="I43" s="71"/>
      <c r="J43" s="71" t="s">
        <v>159</v>
      </c>
      <c r="K43" s="70" t="s">
        <v>885</v>
      </c>
      <c r="L43" s="74">
        <v>1</v>
      </c>
      <c r="M43" s="75">
        <v>937.9122314453125</v>
      </c>
      <c r="N43" s="75">
        <v>6085.73876953125</v>
      </c>
      <c r="O43" s="76"/>
      <c r="P43" s="77"/>
      <c r="Q43" s="77"/>
      <c r="R43" s="89"/>
      <c r="S43" s="49">
        <v>2</v>
      </c>
      <c r="T43" s="49">
        <v>2</v>
      </c>
      <c r="U43" s="50">
        <v>0</v>
      </c>
      <c r="V43" s="50">
        <v>0.189881</v>
      </c>
      <c r="W43" s="50">
        <v>0.090956</v>
      </c>
      <c r="X43" s="50">
        <v>0.004188</v>
      </c>
      <c r="Y43" s="50">
        <v>0</v>
      </c>
      <c r="Z43" s="50">
        <v>1</v>
      </c>
      <c r="AA43" s="72">
        <v>43</v>
      </c>
      <c r="AB43" s="72"/>
      <c r="AC43" s="73"/>
      <c r="AD43" s="80" t="s">
        <v>885</v>
      </c>
      <c r="AE43" s="80"/>
      <c r="AF43" s="80"/>
      <c r="AG43" s="80"/>
      <c r="AH43" s="80"/>
      <c r="AI43" s="80"/>
      <c r="AJ43" s="87">
        <v>41177.83542824074</v>
      </c>
      <c r="AK43" s="85" t="str">
        <f>HYPERLINK("https://yt3.ggpht.com/ytc/AKedOLRzHGEvRe0-NHbpSWm59kRzIyg64ERgxG7MEQR6mg=s88-c-k-c0x00ffffff-no-rj")</f>
        <v>https://yt3.ggpht.com/ytc/AKedOLRzHGEvRe0-NHbpSWm59kRzIyg64ERgxG7MEQR6mg=s88-c-k-c0x00ffffff-no-rj</v>
      </c>
      <c r="AL43" s="80">
        <v>0</v>
      </c>
      <c r="AM43" s="80">
        <v>0</v>
      </c>
      <c r="AN43" s="80">
        <v>0</v>
      </c>
      <c r="AO43" s="80" t="b">
        <v>0</v>
      </c>
      <c r="AP43" s="80">
        <v>0</v>
      </c>
      <c r="AQ43" s="80"/>
      <c r="AR43" s="80"/>
      <c r="AS43" s="80" t="s">
        <v>1376</v>
      </c>
      <c r="AT43" s="85" t="str">
        <f>HYPERLINK("https://www.youtube.com/channel/UCadohWhKjy8YKkiOeKLb_jA")</f>
        <v>https://www.youtube.com/channel/UCadohWhKjy8YKkiOeKLb_jA</v>
      </c>
      <c r="AU43" s="80" t="str">
        <f>REPLACE(INDEX(GroupVertices[Group],MATCH(Vertices[[#This Row],[Vertex]],GroupVertices[Vertex],0)),1,1,"")</f>
        <v>1</v>
      </c>
      <c r="AV43" s="49">
        <v>2</v>
      </c>
      <c r="AW43" s="50">
        <v>1.3513513513513513</v>
      </c>
      <c r="AX43" s="49">
        <v>1</v>
      </c>
      <c r="AY43" s="50">
        <v>0.6756756756756757</v>
      </c>
      <c r="AZ43" s="49">
        <v>0</v>
      </c>
      <c r="BA43" s="50">
        <v>0</v>
      </c>
      <c r="BB43" s="49">
        <v>145</v>
      </c>
      <c r="BC43" s="50">
        <v>97.97297297297297</v>
      </c>
      <c r="BD43" s="49">
        <v>148</v>
      </c>
      <c r="BE43" s="49"/>
      <c r="BF43" s="49"/>
      <c r="BG43" s="49"/>
      <c r="BH43" s="49"/>
      <c r="BI43" s="49"/>
      <c r="BJ43" s="49"/>
      <c r="BK43" s="111" t="s">
        <v>2386</v>
      </c>
      <c r="BL43" s="111" t="s">
        <v>2527</v>
      </c>
      <c r="BM43" s="111" t="s">
        <v>2576</v>
      </c>
      <c r="BN43" s="111" t="s">
        <v>2712</v>
      </c>
      <c r="BO43" s="2"/>
      <c r="BP43" s="3"/>
      <c r="BQ43" s="3"/>
      <c r="BR43" s="3"/>
      <c r="BS43" s="3"/>
    </row>
    <row r="44" spans="1:71" ht="15">
      <c r="A44" s="65" t="s">
        <v>373</v>
      </c>
      <c r="B44" s="66"/>
      <c r="C44" s="66"/>
      <c r="D44" s="67">
        <v>150</v>
      </c>
      <c r="E44" s="69"/>
      <c r="F44" s="103" t="str">
        <f>HYPERLINK("https://yt3.ggpht.com/h5wBC4cK12PyHqwP7V01QGf7x-Vy74EoDGY6mk26Im6eyzhQFrWWSdfA-0ic7F01lG3g0Z0EHRM=s88-c-k-c0x00ffffff-no-rj")</f>
        <v>https://yt3.ggpht.com/h5wBC4cK12PyHqwP7V01QGf7x-Vy74EoDGY6mk26Im6eyzhQFrWWSdfA-0ic7F01lG3g0Z0EHRM=s88-c-k-c0x00ffffff-no-rj</v>
      </c>
      <c r="G44" s="66"/>
      <c r="H44" s="70" t="s">
        <v>886</v>
      </c>
      <c r="I44" s="71"/>
      <c r="J44" s="71" t="s">
        <v>159</v>
      </c>
      <c r="K44" s="70" t="s">
        <v>886</v>
      </c>
      <c r="L44" s="74">
        <v>1</v>
      </c>
      <c r="M44" s="75">
        <v>7661.123046875</v>
      </c>
      <c r="N44" s="75">
        <v>4267.95556640625</v>
      </c>
      <c r="O44" s="76"/>
      <c r="P44" s="77"/>
      <c r="Q44" s="77"/>
      <c r="R44" s="89"/>
      <c r="S44" s="49">
        <v>0</v>
      </c>
      <c r="T44" s="49">
        <v>1</v>
      </c>
      <c r="U44" s="50">
        <v>0</v>
      </c>
      <c r="V44" s="50">
        <v>0.008072</v>
      </c>
      <c r="W44" s="50">
        <v>0</v>
      </c>
      <c r="X44" s="50">
        <v>0.004013</v>
      </c>
      <c r="Y44" s="50">
        <v>0</v>
      </c>
      <c r="Z44" s="50">
        <v>0</v>
      </c>
      <c r="AA44" s="72">
        <v>44</v>
      </c>
      <c r="AB44" s="72"/>
      <c r="AC44" s="73"/>
      <c r="AD44" s="80" t="s">
        <v>886</v>
      </c>
      <c r="AE44" s="80" t="s">
        <v>1300</v>
      </c>
      <c r="AF44" s="80"/>
      <c r="AG44" s="80"/>
      <c r="AH44" s="80"/>
      <c r="AI44" s="80"/>
      <c r="AJ44" s="87">
        <v>40869.64363425926</v>
      </c>
      <c r="AK44" s="85" t="str">
        <f>HYPERLINK("https://yt3.ggpht.com/h5wBC4cK12PyHqwP7V01QGf7x-Vy74EoDGY6mk26Im6eyzhQFrWWSdfA-0ic7F01lG3g0Z0EHRM=s88-c-k-c0x00ffffff-no-rj")</f>
        <v>https://yt3.ggpht.com/h5wBC4cK12PyHqwP7V01QGf7x-Vy74EoDGY6mk26Im6eyzhQFrWWSdfA-0ic7F01lG3g0Z0EHRM=s88-c-k-c0x00ffffff-no-rj</v>
      </c>
      <c r="AL44" s="80">
        <v>9593</v>
      </c>
      <c r="AM44" s="80">
        <v>0</v>
      </c>
      <c r="AN44" s="80">
        <v>103</v>
      </c>
      <c r="AO44" s="80" t="b">
        <v>0</v>
      </c>
      <c r="AP44" s="80">
        <v>57</v>
      </c>
      <c r="AQ44" s="80"/>
      <c r="AR44" s="80"/>
      <c r="AS44" s="80" t="s">
        <v>1376</v>
      </c>
      <c r="AT44" s="85" t="str">
        <f>HYPERLINK("https://www.youtube.com/channel/UCRplO5uLNC-QOf4ZxjI6OaA")</f>
        <v>https://www.youtube.com/channel/UCRplO5uLNC-QOf4ZxjI6OaA</v>
      </c>
      <c r="AU44" s="80" t="str">
        <f>REPLACE(INDEX(GroupVertices[Group],MATCH(Vertices[[#This Row],[Vertex]],GroupVertices[Vertex],0)),1,1,"")</f>
        <v>13</v>
      </c>
      <c r="AV44" s="49">
        <v>0</v>
      </c>
      <c r="AW44" s="50">
        <v>0</v>
      </c>
      <c r="AX44" s="49">
        <v>0</v>
      </c>
      <c r="AY44" s="50">
        <v>0</v>
      </c>
      <c r="AZ44" s="49">
        <v>0</v>
      </c>
      <c r="BA44" s="50">
        <v>0</v>
      </c>
      <c r="BB44" s="49">
        <v>7</v>
      </c>
      <c r="BC44" s="50">
        <v>100</v>
      </c>
      <c r="BD44" s="49">
        <v>7</v>
      </c>
      <c r="BE44" s="49"/>
      <c r="BF44" s="49"/>
      <c r="BG44" s="49"/>
      <c r="BH44" s="49"/>
      <c r="BI44" s="49"/>
      <c r="BJ44" s="49"/>
      <c r="BK44" s="111" t="s">
        <v>2387</v>
      </c>
      <c r="BL44" s="111" t="s">
        <v>2387</v>
      </c>
      <c r="BM44" s="111" t="s">
        <v>2577</v>
      </c>
      <c r="BN44" s="111" t="s">
        <v>2577</v>
      </c>
      <c r="BO44" s="2"/>
      <c r="BP44" s="3"/>
      <c r="BQ44" s="3"/>
      <c r="BR44" s="3"/>
      <c r="BS44" s="3"/>
    </row>
    <row r="45" spans="1:71" ht="15">
      <c r="A45" s="65" t="s">
        <v>536</v>
      </c>
      <c r="B45" s="66"/>
      <c r="C45" s="66"/>
      <c r="D45" s="67">
        <v>154.88505747126436</v>
      </c>
      <c r="E45" s="69"/>
      <c r="F45" s="103" t="str">
        <f>HYPERLINK("https://yt3.ggpht.com/ytc/AKedOLQoDDLlg87bmVM4T2Ru2jhbVswTOmgHyrlTTQs_xw=s88-c-k-c0x00ffffff-no-rj")</f>
        <v>https://yt3.ggpht.com/ytc/AKedOLQoDDLlg87bmVM4T2Ru2jhbVswTOmgHyrlTTQs_xw=s88-c-k-c0x00ffffff-no-rj</v>
      </c>
      <c r="G45" s="66"/>
      <c r="H45" s="70" t="s">
        <v>1258</v>
      </c>
      <c r="I45" s="71"/>
      <c r="J45" s="71" t="s">
        <v>75</v>
      </c>
      <c r="K45" s="70" t="s">
        <v>1258</v>
      </c>
      <c r="L45" s="74">
        <v>5.3268377711287656</v>
      </c>
      <c r="M45" s="75">
        <v>7661.123046875</v>
      </c>
      <c r="N45" s="75">
        <v>3569.495849609375</v>
      </c>
      <c r="O45" s="76"/>
      <c r="P45" s="77"/>
      <c r="Q45" s="77"/>
      <c r="R45" s="89"/>
      <c r="S45" s="49">
        <v>4</v>
      </c>
      <c r="T45" s="49">
        <v>1</v>
      </c>
      <c r="U45" s="50">
        <v>6</v>
      </c>
      <c r="V45" s="50">
        <v>0.013453</v>
      </c>
      <c r="W45" s="50">
        <v>0</v>
      </c>
      <c r="X45" s="50">
        <v>0.005819</v>
      </c>
      <c r="Y45" s="50">
        <v>0</v>
      </c>
      <c r="Z45" s="50">
        <v>0</v>
      </c>
      <c r="AA45" s="72">
        <v>45</v>
      </c>
      <c r="AB45" s="72"/>
      <c r="AC45" s="73"/>
      <c r="AD45" s="80" t="s">
        <v>1258</v>
      </c>
      <c r="AE45" s="80" t="s">
        <v>1301</v>
      </c>
      <c r="AF45" s="80"/>
      <c r="AG45" s="80"/>
      <c r="AH45" s="80"/>
      <c r="AI45" s="80"/>
      <c r="AJ45" s="87">
        <v>41756.06150462963</v>
      </c>
      <c r="AK45" s="85" t="str">
        <f>HYPERLINK("https://yt3.ggpht.com/ytc/AKedOLQoDDLlg87bmVM4T2Ru2jhbVswTOmgHyrlTTQs_xw=s88-c-k-c0x00ffffff-no-rj")</f>
        <v>https://yt3.ggpht.com/ytc/AKedOLQoDDLlg87bmVM4T2Ru2jhbVswTOmgHyrlTTQs_xw=s88-c-k-c0x00ffffff-no-rj</v>
      </c>
      <c r="AL45" s="80">
        <v>10370</v>
      </c>
      <c r="AM45" s="80">
        <v>0</v>
      </c>
      <c r="AN45" s="80">
        <v>81</v>
      </c>
      <c r="AO45" s="80" t="b">
        <v>0</v>
      </c>
      <c r="AP45" s="80">
        <v>114</v>
      </c>
      <c r="AQ45" s="80"/>
      <c r="AR45" s="80"/>
      <c r="AS45" s="80" t="s">
        <v>1376</v>
      </c>
      <c r="AT45" s="85" t="str">
        <f>HYPERLINK("https://www.youtube.com/channel/UCudmJpNyT3lLYSTkmkhDm8w")</f>
        <v>https://www.youtube.com/channel/UCudmJpNyT3lLYSTkmkhDm8w</v>
      </c>
      <c r="AU45" s="80" t="str">
        <f>REPLACE(INDEX(GroupVertices[Group],MATCH(Vertices[[#This Row],[Vertex]],GroupVertices[Vertex],0)),1,1,"")</f>
        <v>13</v>
      </c>
      <c r="AV45" s="49"/>
      <c r="AW45" s="50"/>
      <c r="AX45" s="49"/>
      <c r="AY45" s="50"/>
      <c r="AZ45" s="49"/>
      <c r="BA45" s="50"/>
      <c r="BB45" s="49"/>
      <c r="BC45" s="50"/>
      <c r="BD45" s="49"/>
      <c r="BE45" s="49"/>
      <c r="BF45" s="49"/>
      <c r="BG45" s="49"/>
      <c r="BH45" s="49"/>
      <c r="BI45" s="49"/>
      <c r="BJ45" s="49"/>
      <c r="BK45" s="111" t="s">
        <v>1239</v>
      </c>
      <c r="BL45" s="111" t="s">
        <v>1239</v>
      </c>
      <c r="BM45" s="111" t="s">
        <v>1239</v>
      </c>
      <c r="BN45" s="111" t="s">
        <v>1239</v>
      </c>
      <c r="BO45" s="2"/>
      <c r="BP45" s="3"/>
      <c r="BQ45" s="3"/>
      <c r="BR45" s="3"/>
      <c r="BS45" s="3"/>
    </row>
    <row r="46" spans="1:71" ht="15">
      <c r="A46" s="65" t="s">
        <v>374</v>
      </c>
      <c r="B46" s="66"/>
      <c r="C46" s="66"/>
      <c r="D46" s="67">
        <v>150</v>
      </c>
      <c r="E46" s="69"/>
      <c r="F46" s="103" t="str">
        <f>HYPERLINK("https://yt3.ggpht.com/ytc/AKedOLRnFxv-MzYfQSIkjMBVMjV9GDFjl4AeTrD2aYVB=s88-c-k-c0x00ffffff-no-rj")</f>
        <v>https://yt3.ggpht.com/ytc/AKedOLRnFxv-MzYfQSIkjMBVMjV9GDFjl4AeTrD2aYVB=s88-c-k-c0x00ffffff-no-rj</v>
      </c>
      <c r="G46" s="66"/>
      <c r="H46" s="70" t="s">
        <v>887</v>
      </c>
      <c r="I46" s="71"/>
      <c r="J46" s="71" t="s">
        <v>159</v>
      </c>
      <c r="K46" s="70" t="s">
        <v>887</v>
      </c>
      <c r="L46" s="74">
        <v>1</v>
      </c>
      <c r="M46" s="75">
        <v>7146.31298828125</v>
      </c>
      <c r="N46" s="75">
        <v>4267.95556640625</v>
      </c>
      <c r="O46" s="76"/>
      <c r="P46" s="77"/>
      <c r="Q46" s="77"/>
      <c r="R46" s="89"/>
      <c r="S46" s="49">
        <v>0</v>
      </c>
      <c r="T46" s="49">
        <v>1</v>
      </c>
      <c r="U46" s="50">
        <v>0</v>
      </c>
      <c r="V46" s="50">
        <v>0.008072</v>
      </c>
      <c r="W46" s="50">
        <v>0</v>
      </c>
      <c r="X46" s="50">
        <v>0.004013</v>
      </c>
      <c r="Y46" s="50">
        <v>0</v>
      </c>
      <c r="Z46" s="50">
        <v>0</v>
      </c>
      <c r="AA46" s="72">
        <v>46</v>
      </c>
      <c r="AB46" s="72"/>
      <c r="AC46" s="73"/>
      <c r="AD46" s="80" t="s">
        <v>887</v>
      </c>
      <c r="AE46" s="80" t="s">
        <v>1302</v>
      </c>
      <c r="AF46" s="80"/>
      <c r="AG46" s="80"/>
      <c r="AH46" s="80"/>
      <c r="AI46" s="80"/>
      <c r="AJ46" s="87">
        <v>43006.404074074075</v>
      </c>
      <c r="AK46" s="85" t="str">
        <f>HYPERLINK("https://yt3.ggpht.com/ytc/AKedOLRnFxv-MzYfQSIkjMBVMjV9GDFjl4AeTrD2aYVB=s88-c-k-c0x00ffffff-no-rj")</f>
        <v>https://yt3.ggpht.com/ytc/AKedOLRnFxv-MzYfQSIkjMBVMjV9GDFjl4AeTrD2aYVB=s88-c-k-c0x00ffffff-no-rj</v>
      </c>
      <c r="AL46" s="80">
        <v>17039</v>
      </c>
      <c r="AM46" s="80">
        <v>0</v>
      </c>
      <c r="AN46" s="80">
        <v>98</v>
      </c>
      <c r="AO46" s="80" t="b">
        <v>0</v>
      </c>
      <c r="AP46" s="80">
        <v>35</v>
      </c>
      <c r="AQ46" s="80"/>
      <c r="AR46" s="80"/>
      <c r="AS46" s="80" t="s">
        <v>1376</v>
      </c>
      <c r="AT46" s="85" t="str">
        <f>HYPERLINK("https://www.youtube.com/channel/UCRwYXX2La_JD4KoA6hZqIYw")</f>
        <v>https://www.youtube.com/channel/UCRwYXX2La_JD4KoA6hZqIYw</v>
      </c>
      <c r="AU46" s="80" t="str">
        <f>REPLACE(INDEX(GroupVertices[Group],MATCH(Vertices[[#This Row],[Vertex]],GroupVertices[Vertex],0)),1,1,"")</f>
        <v>13</v>
      </c>
      <c r="AV46" s="49">
        <v>0</v>
      </c>
      <c r="AW46" s="50">
        <v>0</v>
      </c>
      <c r="AX46" s="49">
        <v>0</v>
      </c>
      <c r="AY46" s="50">
        <v>0</v>
      </c>
      <c r="AZ46" s="49">
        <v>0</v>
      </c>
      <c r="BA46" s="50">
        <v>0</v>
      </c>
      <c r="BB46" s="49">
        <v>2</v>
      </c>
      <c r="BC46" s="50">
        <v>100</v>
      </c>
      <c r="BD46" s="49">
        <v>2</v>
      </c>
      <c r="BE46" s="49"/>
      <c r="BF46" s="49"/>
      <c r="BG46" s="49"/>
      <c r="BH46" s="49"/>
      <c r="BI46" s="49"/>
      <c r="BJ46" s="49"/>
      <c r="BK46" s="111" t="s">
        <v>2388</v>
      </c>
      <c r="BL46" s="111" t="s">
        <v>2388</v>
      </c>
      <c r="BM46" s="111" t="s">
        <v>2578</v>
      </c>
      <c r="BN46" s="111" t="s">
        <v>2578</v>
      </c>
      <c r="BO46" s="2"/>
      <c r="BP46" s="3"/>
      <c r="BQ46" s="3"/>
      <c r="BR46" s="3"/>
      <c r="BS46" s="3"/>
    </row>
    <row r="47" spans="1:71" ht="15">
      <c r="A47" s="65" t="s">
        <v>375</v>
      </c>
      <c r="B47" s="66"/>
      <c r="C47" s="66"/>
      <c r="D47" s="67">
        <v>150</v>
      </c>
      <c r="E47" s="69"/>
      <c r="F47" s="103" t="str">
        <f>HYPERLINK("https://yt3.ggpht.com/ytc/AKedOLToc-OjnToXStQAPYb_7n-Wc4cq7BfS4fdBb0SQsg=s88-c-k-c0x00ffffff-no-rj")</f>
        <v>https://yt3.ggpht.com/ytc/AKedOLToc-OjnToXStQAPYb_7n-Wc4cq7BfS4fdBb0SQsg=s88-c-k-c0x00ffffff-no-rj</v>
      </c>
      <c r="G47" s="66"/>
      <c r="H47" s="70" t="s">
        <v>888</v>
      </c>
      <c r="I47" s="71"/>
      <c r="J47" s="71" t="s">
        <v>159</v>
      </c>
      <c r="K47" s="70" t="s">
        <v>888</v>
      </c>
      <c r="L47" s="74">
        <v>1</v>
      </c>
      <c r="M47" s="75">
        <v>7146.31298828125</v>
      </c>
      <c r="N47" s="75">
        <v>3569.495849609375</v>
      </c>
      <c r="O47" s="76"/>
      <c r="P47" s="77"/>
      <c r="Q47" s="77"/>
      <c r="R47" s="89"/>
      <c r="S47" s="49">
        <v>0</v>
      </c>
      <c r="T47" s="49">
        <v>1</v>
      </c>
      <c r="U47" s="50">
        <v>0</v>
      </c>
      <c r="V47" s="50">
        <v>0.008072</v>
      </c>
      <c r="W47" s="50">
        <v>0</v>
      </c>
      <c r="X47" s="50">
        <v>0.004013</v>
      </c>
      <c r="Y47" s="50">
        <v>0</v>
      </c>
      <c r="Z47" s="50">
        <v>0</v>
      </c>
      <c r="AA47" s="72">
        <v>47</v>
      </c>
      <c r="AB47" s="72"/>
      <c r="AC47" s="73"/>
      <c r="AD47" s="80" t="s">
        <v>888</v>
      </c>
      <c r="AE47" s="80"/>
      <c r="AF47" s="80"/>
      <c r="AG47" s="80"/>
      <c r="AH47" s="80"/>
      <c r="AI47" s="80"/>
      <c r="AJ47" s="87">
        <v>42313.241736111115</v>
      </c>
      <c r="AK47" s="85" t="str">
        <f>HYPERLINK("https://yt3.ggpht.com/ytc/AKedOLToc-OjnToXStQAPYb_7n-Wc4cq7BfS4fdBb0SQsg=s88-c-k-c0x00ffffff-no-rj")</f>
        <v>https://yt3.ggpht.com/ytc/AKedOLToc-OjnToXStQAPYb_7n-Wc4cq7BfS4fdBb0SQsg=s88-c-k-c0x00ffffff-no-rj</v>
      </c>
      <c r="AL47" s="80">
        <v>254</v>
      </c>
      <c r="AM47" s="80">
        <v>0</v>
      </c>
      <c r="AN47" s="80">
        <v>1</v>
      </c>
      <c r="AO47" s="80" t="b">
        <v>0</v>
      </c>
      <c r="AP47" s="80">
        <v>6</v>
      </c>
      <c r="AQ47" s="80"/>
      <c r="AR47" s="80"/>
      <c r="AS47" s="80" t="s">
        <v>1376</v>
      </c>
      <c r="AT47" s="85" t="str">
        <f>HYPERLINK("https://www.youtube.com/channel/UCOosNpm4X6UrnhAUxCEKY8A")</f>
        <v>https://www.youtube.com/channel/UCOosNpm4X6UrnhAUxCEKY8A</v>
      </c>
      <c r="AU47" s="80" t="str">
        <f>REPLACE(INDEX(GroupVertices[Group],MATCH(Vertices[[#This Row],[Vertex]],GroupVertices[Vertex],0)),1,1,"")</f>
        <v>13</v>
      </c>
      <c r="AV47" s="49">
        <v>0</v>
      </c>
      <c r="AW47" s="50">
        <v>0</v>
      </c>
      <c r="AX47" s="49">
        <v>0</v>
      </c>
      <c r="AY47" s="50">
        <v>0</v>
      </c>
      <c r="AZ47" s="49">
        <v>0</v>
      </c>
      <c r="BA47" s="50">
        <v>0</v>
      </c>
      <c r="BB47" s="49">
        <v>9</v>
      </c>
      <c r="BC47" s="50">
        <v>100</v>
      </c>
      <c r="BD47" s="49">
        <v>9</v>
      </c>
      <c r="BE47" s="49"/>
      <c r="BF47" s="49"/>
      <c r="BG47" s="49"/>
      <c r="BH47" s="49"/>
      <c r="BI47" s="49"/>
      <c r="BJ47" s="49"/>
      <c r="BK47" s="111" t="s">
        <v>2389</v>
      </c>
      <c r="BL47" s="111" t="s">
        <v>2389</v>
      </c>
      <c r="BM47" s="111" t="s">
        <v>2579</v>
      </c>
      <c r="BN47" s="111" t="s">
        <v>2579</v>
      </c>
      <c r="BO47" s="2"/>
      <c r="BP47" s="3"/>
      <c r="BQ47" s="3"/>
      <c r="BR47" s="3"/>
      <c r="BS47" s="3"/>
    </row>
    <row r="48" spans="1:71" ht="15">
      <c r="A48" s="65" t="s">
        <v>376</v>
      </c>
      <c r="B48" s="66"/>
      <c r="C48" s="66"/>
      <c r="D48" s="67">
        <v>150</v>
      </c>
      <c r="E48" s="69"/>
      <c r="F48" s="103" t="str">
        <f>HYPERLINK("https://yt3.ggpht.com/ytc/AKedOLRDL2ioUOUXPFUCKnHJRFD2x8thiQMqG8OXwqa_0zY=s88-c-k-c0x00ffffff-no-rj")</f>
        <v>https://yt3.ggpht.com/ytc/AKedOLRDL2ioUOUXPFUCKnHJRFD2x8thiQMqG8OXwqa_0zY=s88-c-k-c0x00ffffff-no-rj</v>
      </c>
      <c r="G48" s="66"/>
      <c r="H48" s="70" t="s">
        <v>889</v>
      </c>
      <c r="I48" s="71"/>
      <c r="J48" s="71" t="s">
        <v>159</v>
      </c>
      <c r="K48" s="70" t="s">
        <v>889</v>
      </c>
      <c r="L48" s="74">
        <v>1</v>
      </c>
      <c r="M48" s="75">
        <v>2127.94873046875</v>
      </c>
      <c r="N48" s="75">
        <v>6847.529296875</v>
      </c>
      <c r="O48" s="76"/>
      <c r="P48" s="77"/>
      <c r="Q48" s="77"/>
      <c r="R48" s="89"/>
      <c r="S48" s="49">
        <v>0</v>
      </c>
      <c r="T48" s="49">
        <v>1</v>
      </c>
      <c r="U48" s="50">
        <v>0</v>
      </c>
      <c r="V48" s="50">
        <v>0.189881</v>
      </c>
      <c r="W48" s="50">
        <v>0.080745</v>
      </c>
      <c r="X48" s="50">
        <v>0.003874</v>
      </c>
      <c r="Y48" s="50">
        <v>0</v>
      </c>
      <c r="Z48" s="50">
        <v>0</v>
      </c>
      <c r="AA48" s="72">
        <v>48</v>
      </c>
      <c r="AB48" s="72"/>
      <c r="AC48" s="73"/>
      <c r="AD48" s="80" t="s">
        <v>889</v>
      </c>
      <c r="AE48" s="80"/>
      <c r="AF48" s="80"/>
      <c r="AG48" s="80"/>
      <c r="AH48" s="80"/>
      <c r="AI48" s="80"/>
      <c r="AJ48" s="87">
        <v>42271.962592592594</v>
      </c>
      <c r="AK48" s="85" t="str">
        <f>HYPERLINK("https://yt3.ggpht.com/ytc/AKedOLRDL2ioUOUXPFUCKnHJRFD2x8thiQMqG8OXwqa_0zY=s88-c-k-c0x00ffffff-no-rj")</f>
        <v>https://yt3.ggpht.com/ytc/AKedOLRDL2ioUOUXPFUCKnHJRFD2x8thiQMqG8OXwqa_0zY=s88-c-k-c0x00ffffff-no-rj</v>
      </c>
      <c r="AL48" s="80">
        <v>0</v>
      </c>
      <c r="AM48" s="80">
        <v>0</v>
      </c>
      <c r="AN48" s="80">
        <v>0</v>
      </c>
      <c r="AO48" s="80" t="b">
        <v>0</v>
      </c>
      <c r="AP48" s="80">
        <v>0</v>
      </c>
      <c r="AQ48" s="80"/>
      <c r="AR48" s="80"/>
      <c r="AS48" s="80" t="s">
        <v>1376</v>
      </c>
      <c r="AT48" s="85" t="str">
        <f>HYPERLINK("https://www.youtube.com/channel/UCLIhyce5kxvdas1PvQVkSkg")</f>
        <v>https://www.youtube.com/channel/UCLIhyce5kxvdas1PvQVkSkg</v>
      </c>
      <c r="AU48" s="80" t="str">
        <f>REPLACE(INDEX(GroupVertices[Group],MATCH(Vertices[[#This Row],[Vertex]],GroupVertices[Vertex],0)),1,1,"")</f>
        <v>1</v>
      </c>
      <c r="AV48" s="49">
        <v>3</v>
      </c>
      <c r="AW48" s="50">
        <v>4.054054054054054</v>
      </c>
      <c r="AX48" s="49">
        <v>1</v>
      </c>
      <c r="AY48" s="50">
        <v>1.3513513513513513</v>
      </c>
      <c r="AZ48" s="49">
        <v>0</v>
      </c>
      <c r="BA48" s="50">
        <v>0</v>
      </c>
      <c r="BB48" s="49">
        <v>70</v>
      </c>
      <c r="BC48" s="50">
        <v>94.5945945945946</v>
      </c>
      <c r="BD48" s="49">
        <v>74</v>
      </c>
      <c r="BE48" s="49"/>
      <c r="BF48" s="49"/>
      <c r="BG48" s="49"/>
      <c r="BH48" s="49"/>
      <c r="BI48" s="49"/>
      <c r="BJ48" s="49"/>
      <c r="BK48" s="111" t="s">
        <v>2390</v>
      </c>
      <c r="BL48" s="111" t="s">
        <v>2390</v>
      </c>
      <c r="BM48" s="111" t="s">
        <v>2580</v>
      </c>
      <c r="BN48" s="111" t="s">
        <v>2580</v>
      </c>
      <c r="BO48" s="2"/>
      <c r="BP48" s="3"/>
      <c r="BQ48" s="3"/>
      <c r="BR48" s="3"/>
      <c r="BS48" s="3"/>
    </row>
    <row r="49" spans="1:71" ht="15">
      <c r="A49" s="65" t="s">
        <v>377</v>
      </c>
      <c r="B49" s="66"/>
      <c r="C49" s="66"/>
      <c r="D49" s="67">
        <v>150</v>
      </c>
      <c r="E49" s="69"/>
      <c r="F49" s="103" t="str">
        <f>HYPERLINK("https://yt3.ggpht.com/ytc/AKedOLQ-R0ru0BV1T2oRXnXZf3AOTqHki3D5RgCjZEKskKM=s88-c-k-c0x00ffffff-no-rj")</f>
        <v>https://yt3.ggpht.com/ytc/AKedOLQ-R0ru0BV1T2oRXnXZf3AOTqHki3D5RgCjZEKskKM=s88-c-k-c0x00ffffff-no-rj</v>
      </c>
      <c r="G49" s="66"/>
      <c r="H49" s="70" t="s">
        <v>890</v>
      </c>
      <c r="I49" s="71"/>
      <c r="J49" s="71" t="s">
        <v>159</v>
      </c>
      <c r="K49" s="70" t="s">
        <v>890</v>
      </c>
      <c r="L49" s="74">
        <v>1</v>
      </c>
      <c r="M49" s="75">
        <v>1219.2735595703125</v>
      </c>
      <c r="N49" s="75">
        <v>6547.48828125</v>
      </c>
      <c r="O49" s="76"/>
      <c r="P49" s="77"/>
      <c r="Q49" s="77"/>
      <c r="R49" s="89"/>
      <c r="S49" s="49">
        <v>1</v>
      </c>
      <c r="T49" s="49">
        <v>1</v>
      </c>
      <c r="U49" s="50">
        <v>0</v>
      </c>
      <c r="V49" s="50">
        <v>0.189881</v>
      </c>
      <c r="W49" s="50">
        <v>0.080745</v>
      </c>
      <c r="X49" s="50">
        <v>0.003874</v>
      </c>
      <c r="Y49" s="50">
        <v>0</v>
      </c>
      <c r="Z49" s="50">
        <v>1</v>
      </c>
      <c r="AA49" s="72">
        <v>49</v>
      </c>
      <c r="AB49" s="72"/>
      <c r="AC49" s="73"/>
      <c r="AD49" s="80" t="s">
        <v>890</v>
      </c>
      <c r="AE49" s="80"/>
      <c r="AF49" s="80"/>
      <c r="AG49" s="80"/>
      <c r="AH49" s="80"/>
      <c r="AI49" s="80"/>
      <c r="AJ49" s="87">
        <v>41441.811585648145</v>
      </c>
      <c r="AK49" s="85" t="str">
        <f>HYPERLINK("https://yt3.ggpht.com/ytc/AKedOLQ-R0ru0BV1T2oRXnXZf3AOTqHki3D5RgCjZEKskKM=s88-c-k-c0x00ffffff-no-rj")</f>
        <v>https://yt3.ggpht.com/ytc/AKedOLQ-R0ru0BV1T2oRXnXZf3AOTqHki3D5RgCjZEKskKM=s88-c-k-c0x00ffffff-no-rj</v>
      </c>
      <c r="AL49" s="80">
        <v>484</v>
      </c>
      <c r="AM49" s="80">
        <v>0</v>
      </c>
      <c r="AN49" s="80">
        <v>4</v>
      </c>
      <c r="AO49" s="80" t="b">
        <v>0</v>
      </c>
      <c r="AP49" s="80">
        <v>6</v>
      </c>
      <c r="AQ49" s="80"/>
      <c r="AR49" s="80"/>
      <c r="AS49" s="80" t="s">
        <v>1376</v>
      </c>
      <c r="AT49" s="85" t="str">
        <f>HYPERLINK("https://www.youtube.com/channel/UCOAzGG0Pm_MiO-SQ2Dc-Wdg")</f>
        <v>https://www.youtube.com/channel/UCOAzGG0Pm_MiO-SQ2Dc-Wdg</v>
      </c>
      <c r="AU49" s="80" t="str">
        <f>REPLACE(INDEX(GroupVertices[Group],MATCH(Vertices[[#This Row],[Vertex]],GroupVertices[Vertex],0)),1,1,"")</f>
        <v>1</v>
      </c>
      <c r="AV49" s="49">
        <v>2</v>
      </c>
      <c r="AW49" s="50">
        <v>3.5714285714285716</v>
      </c>
      <c r="AX49" s="49">
        <v>0</v>
      </c>
      <c r="AY49" s="50">
        <v>0</v>
      </c>
      <c r="AZ49" s="49">
        <v>0</v>
      </c>
      <c r="BA49" s="50">
        <v>0</v>
      </c>
      <c r="BB49" s="49">
        <v>54</v>
      </c>
      <c r="BC49" s="50">
        <v>96.42857142857143</v>
      </c>
      <c r="BD49" s="49">
        <v>56</v>
      </c>
      <c r="BE49" s="49"/>
      <c r="BF49" s="49"/>
      <c r="BG49" s="49"/>
      <c r="BH49" s="49"/>
      <c r="BI49" s="49"/>
      <c r="BJ49" s="49"/>
      <c r="BK49" s="111" t="s">
        <v>2391</v>
      </c>
      <c r="BL49" s="111" t="s">
        <v>2391</v>
      </c>
      <c r="BM49" s="111" t="s">
        <v>2581</v>
      </c>
      <c r="BN49" s="111" t="s">
        <v>2581</v>
      </c>
      <c r="BO49" s="2"/>
      <c r="BP49" s="3"/>
      <c r="BQ49" s="3"/>
      <c r="BR49" s="3"/>
      <c r="BS49" s="3"/>
    </row>
    <row r="50" spans="1:71" ht="15">
      <c r="A50" s="65" t="s">
        <v>378</v>
      </c>
      <c r="B50" s="66"/>
      <c r="C50" s="66"/>
      <c r="D50" s="67">
        <v>150</v>
      </c>
      <c r="E50" s="69"/>
      <c r="F50" s="103" t="str">
        <f>HYPERLINK("https://yt3.ggpht.com/ytc/AKedOLToy0JhnaFyoOsTV5LP2p6NSUWmkftcJoxEHDpyuFA=s88-c-k-c0x00ffffff-no-rj")</f>
        <v>https://yt3.ggpht.com/ytc/AKedOLToy0JhnaFyoOsTV5LP2p6NSUWmkftcJoxEHDpyuFA=s88-c-k-c0x00ffffff-no-rj</v>
      </c>
      <c r="G50" s="66"/>
      <c r="H50" s="70" t="s">
        <v>891</v>
      </c>
      <c r="I50" s="71"/>
      <c r="J50" s="71" t="s">
        <v>159</v>
      </c>
      <c r="K50" s="70" t="s">
        <v>891</v>
      </c>
      <c r="L50" s="74">
        <v>1</v>
      </c>
      <c r="M50" s="75">
        <v>1393.40673828125</v>
      </c>
      <c r="N50" s="75">
        <v>2945.556884765625</v>
      </c>
      <c r="O50" s="76"/>
      <c r="P50" s="77"/>
      <c r="Q50" s="77"/>
      <c r="R50" s="89"/>
      <c r="S50" s="49">
        <v>0</v>
      </c>
      <c r="T50" s="49">
        <v>1</v>
      </c>
      <c r="U50" s="50">
        <v>0</v>
      </c>
      <c r="V50" s="50">
        <v>0.189881</v>
      </c>
      <c r="W50" s="50">
        <v>0.080745</v>
      </c>
      <c r="X50" s="50">
        <v>0.003874</v>
      </c>
      <c r="Y50" s="50">
        <v>0</v>
      </c>
      <c r="Z50" s="50">
        <v>0</v>
      </c>
      <c r="AA50" s="72">
        <v>50</v>
      </c>
      <c r="AB50" s="72"/>
      <c r="AC50" s="73"/>
      <c r="AD50" s="80" t="s">
        <v>891</v>
      </c>
      <c r="AE50" s="80" t="s">
        <v>1303</v>
      </c>
      <c r="AF50" s="80"/>
      <c r="AG50" s="80"/>
      <c r="AH50" s="80"/>
      <c r="AI50" s="80"/>
      <c r="AJ50" s="87">
        <v>41358.92619212963</v>
      </c>
      <c r="AK50" s="85" t="str">
        <f>HYPERLINK("https://yt3.ggpht.com/ytc/AKedOLToy0JhnaFyoOsTV5LP2p6NSUWmkftcJoxEHDpyuFA=s88-c-k-c0x00ffffff-no-rj")</f>
        <v>https://yt3.ggpht.com/ytc/AKedOLToy0JhnaFyoOsTV5LP2p6NSUWmkftcJoxEHDpyuFA=s88-c-k-c0x00ffffff-no-rj</v>
      </c>
      <c r="AL50" s="80">
        <v>33709</v>
      </c>
      <c r="AM50" s="80">
        <v>0</v>
      </c>
      <c r="AN50" s="80">
        <v>108</v>
      </c>
      <c r="AO50" s="80" t="b">
        <v>0</v>
      </c>
      <c r="AP50" s="80">
        <v>44</v>
      </c>
      <c r="AQ50" s="80"/>
      <c r="AR50" s="80"/>
      <c r="AS50" s="80" t="s">
        <v>1376</v>
      </c>
      <c r="AT50" s="85" t="str">
        <f>HYPERLINK("https://www.youtube.com/channel/UCuh2m_8m5pUxe9NMlGxQ1dQ")</f>
        <v>https://www.youtube.com/channel/UCuh2m_8m5pUxe9NMlGxQ1dQ</v>
      </c>
      <c r="AU50" s="80" t="str">
        <f>REPLACE(INDEX(GroupVertices[Group],MATCH(Vertices[[#This Row],[Vertex]],GroupVertices[Vertex],0)),1,1,"")</f>
        <v>1</v>
      </c>
      <c r="AV50" s="49">
        <v>2</v>
      </c>
      <c r="AW50" s="50">
        <v>16.666666666666668</v>
      </c>
      <c r="AX50" s="49">
        <v>0</v>
      </c>
      <c r="AY50" s="50">
        <v>0</v>
      </c>
      <c r="AZ50" s="49">
        <v>0</v>
      </c>
      <c r="BA50" s="50">
        <v>0</v>
      </c>
      <c r="BB50" s="49">
        <v>10</v>
      </c>
      <c r="BC50" s="50">
        <v>83.33333333333333</v>
      </c>
      <c r="BD50" s="49">
        <v>12</v>
      </c>
      <c r="BE50" s="49"/>
      <c r="BF50" s="49"/>
      <c r="BG50" s="49"/>
      <c r="BH50" s="49"/>
      <c r="BI50" s="49"/>
      <c r="BJ50" s="49"/>
      <c r="BK50" s="111" t="s">
        <v>2392</v>
      </c>
      <c r="BL50" s="111" t="s">
        <v>2392</v>
      </c>
      <c r="BM50" s="111" t="s">
        <v>2582</v>
      </c>
      <c r="BN50" s="111" t="s">
        <v>2582</v>
      </c>
      <c r="BO50" s="2"/>
      <c r="BP50" s="3"/>
      <c r="BQ50" s="3"/>
      <c r="BR50" s="3"/>
      <c r="BS50" s="3"/>
    </row>
    <row r="51" spans="1:71" ht="15">
      <c r="A51" s="65" t="s">
        <v>379</v>
      </c>
      <c r="B51" s="66"/>
      <c r="C51" s="66"/>
      <c r="D51" s="67">
        <v>150</v>
      </c>
      <c r="E51" s="69"/>
      <c r="F51" s="103" t="str">
        <f>HYPERLINK("https://yt3.ggpht.com/VizZQffcP29PydLR8XXjP76s-_XaCgtg_Y5H2Ze8zQsFhNUgzeL6ByU_erElAdKWtVT2qMexSw=s88-c-k-c0x00ffffff-no-rj")</f>
        <v>https://yt3.ggpht.com/VizZQffcP29PydLR8XXjP76s-_XaCgtg_Y5H2Ze8zQsFhNUgzeL6ByU_erElAdKWtVT2qMexSw=s88-c-k-c0x00ffffff-no-rj</v>
      </c>
      <c r="G51" s="66"/>
      <c r="H51" s="70" t="s">
        <v>892</v>
      </c>
      <c r="I51" s="71"/>
      <c r="J51" s="71" t="s">
        <v>159</v>
      </c>
      <c r="K51" s="70" t="s">
        <v>892</v>
      </c>
      <c r="L51" s="74">
        <v>1</v>
      </c>
      <c r="M51" s="75">
        <v>1550.8955078125</v>
      </c>
      <c r="N51" s="75">
        <v>9341.5537109375</v>
      </c>
      <c r="O51" s="76"/>
      <c r="P51" s="77"/>
      <c r="Q51" s="77"/>
      <c r="R51" s="89"/>
      <c r="S51" s="49">
        <v>1</v>
      </c>
      <c r="T51" s="49">
        <v>1</v>
      </c>
      <c r="U51" s="50">
        <v>0</v>
      </c>
      <c r="V51" s="50">
        <v>0.189881</v>
      </c>
      <c r="W51" s="50">
        <v>0.080745</v>
      </c>
      <c r="X51" s="50">
        <v>0.003874</v>
      </c>
      <c r="Y51" s="50">
        <v>0</v>
      </c>
      <c r="Z51" s="50">
        <v>1</v>
      </c>
      <c r="AA51" s="72">
        <v>51</v>
      </c>
      <c r="AB51" s="72"/>
      <c r="AC51" s="73"/>
      <c r="AD51" s="80" t="s">
        <v>892</v>
      </c>
      <c r="AE51" s="80"/>
      <c r="AF51" s="80"/>
      <c r="AG51" s="80"/>
      <c r="AH51" s="80"/>
      <c r="AI51" s="80"/>
      <c r="AJ51" s="87">
        <v>39767.18693287037</v>
      </c>
      <c r="AK51" s="85" t="str">
        <f>HYPERLINK("https://yt3.ggpht.com/VizZQffcP29PydLR8XXjP76s-_XaCgtg_Y5H2Ze8zQsFhNUgzeL6ByU_erElAdKWtVT2qMexSw=s88-c-k-c0x00ffffff-no-rj")</f>
        <v>https://yt3.ggpht.com/VizZQffcP29PydLR8XXjP76s-_XaCgtg_Y5H2Ze8zQsFhNUgzeL6ByU_erElAdKWtVT2qMexSw=s88-c-k-c0x00ffffff-no-rj</v>
      </c>
      <c r="AL51" s="80">
        <v>0</v>
      </c>
      <c r="AM51" s="80">
        <v>0</v>
      </c>
      <c r="AN51" s="80">
        <v>1</v>
      </c>
      <c r="AO51" s="80" t="b">
        <v>0</v>
      </c>
      <c r="AP51" s="80">
        <v>0</v>
      </c>
      <c r="AQ51" s="80"/>
      <c r="AR51" s="80"/>
      <c r="AS51" s="80" t="s">
        <v>1376</v>
      </c>
      <c r="AT51" s="85" t="str">
        <f>HYPERLINK("https://www.youtube.com/channel/UC9LLQRE_1OPkWUCda2b_kmg")</f>
        <v>https://www.youtube.com/channel/UC9LLQRE_1OPkWUCda2b_kmg</v>
      </c>
      <c r="AU51" s="80" t="str">
        <f>REPLACE(INDEX(GroupVertices[Group],MATCH(Vertices[[#This Row],[Vertex]],GroupVertices[Vertex],0)),1,1,"")</f>
        <v>1</v>
      </c>
      <c r="AV51" s="49">
        <v>1</v>
      </c>
      <c r="AW51" s="50">
        <v>1.3513513513513513</v>
      </c>
      <c r="AX51" s="49">
        <v>8</v>
      </c>
      <c r="AY51" s="50">
        <v>10.81081081081081</v>
      </c>
      <c r="AZ51" s="49">
        <v>0</v>
      </c>
      <c r="BA51" s="50">
        <v>0</v>
      </c>
      <c r="BB51" s="49">
        <v>65</v>
      </c>
      <c r="BC51" s="50">
        <v>87.83783783783784</v>
      </c>
      <c r="BD51" s="49">
        <v>74</v>
      </c>
      <c r="BE51" s="49"/>
      <c r="BF51" s="49"/>
      <c r="BG51" s="49"/>
      <c r="BH51" s="49"/>
      <c r="BI51" s="49"/>
      <c r="BJ51" s="49"/>
      <c r="BK51" s="111" t="s">
        <v>2393</v>
      </c>
      <c r="BL51" s="111" t="s">
        <v>2393</v>
      </c>
      <c r="BM51" s="111" t="s">
        <v>2583</v>
      </c>
      <c r="BN51" s="111" t="s">
        <v>2583</v>
      </c>
      <c r="BO51" s="2"/>
      <c r="BP51" s="3"/>
      <c r="BQ51" s="3"/>
      <c r="BR51" s="3"/>
      <c r="BS51" s="3"/>
    </row>
    <row r="52" spans="1:71" ht="15">
      <c r="A52" s="65" t="s">
        <v>380</v>
      </c>
      <c r="B52" s="66"/>
      <c r="C52" s="66"/>
      <c r="D52" s="67">
        <v>150</v>
      </c>
      <c r="E52" s="69"/>
      <c r="F52" s="103" t="str">
        <f>HYPERLINK("https://yt3.ggpht.com/ytc/AKedOLQ4AAlCjjMxJdWfe80hRkgzuO7yDEq9Q4Q4iAqTlA=s88-c-k-c0x00ffffff-no-rj")</f>
        <v>https://yt3.ggpht.com/ytc/AKedOLQ4AAlCjjMxJdWfe80hRkgzuO7yDEq9Q4Q4iAqTlA=s88-c-k-c0x00ffffff-no-rj</v>
      </c>
      <c r="G52" s="66"/>
      <c r="H52" s="70" t="s">
        <v>893</v>
      </c>
      <c r="I52" s="71"/>
      <c r="J52" s="71" t="s">
        <v>159</v>
      </c>
      <c r="K52" s="70" t="s">
        <v>893</v>
      </c>
      <c r="L52" s="74">
        <v>1</v>
      </c>
      <c r="M52" s="75">
        <v>9006.53125</v>
      </c>
      <c r="N52" s="75">
        <v>731.5444946289062</v>
      </c>
      <c r="O52" s="76"/>
      <c r="P52" s="77"/>
      <c r="Q52" s="77"/>
      <c r="R52" s="89"/>
      <c r="S52" s="49">
        <v>0</v>
      </c>
      <c r="T52" s="49">
        <v>1</v>
      </c>
      <c r="U52" s="50">
        <v>0</v>
      </c>
      <c r="V52" s="50">
        <v>0.004484</v>
      </c>
      <c r="W52" s="50">
        <v>0</v>
      </c>
      <c r="X52" s="50">
        <v>0.004153</v>
      </c>
      <c r="Y52" s="50">
        <v>0</v>
      </c>
      <c r="Z52" s="50">
        <v>0</v>
      </c>
      <c r="AA52" s="72">
        <v>52</v>
      </c>
      <c r="AB52" s="72"/>
      <c r="AC52" s="73"/>
      <c r="AD52" s="80" t="s">
        <v>893</v>
      </c>
      <c r="AE52" s="80"/>
      <c r="AF52" s="80"/>
      <c r="AG52" s="80"/>
      <c r="AH52" s="80"/>
      <c r="AI52" s="80"/>
      <c r="AJ52" s="87">
        <v>41643.037939814814</v>
      </c>
      <c r="AK52" s="85" t="str">
        <f>HYPERLINK("https://yt3.ggpht.com/ytc/AKedOLQ4AAlCjjMxJdWfe80hRkgzuO7yDEq9Q4Q4iAqTlA=s88-c-k-c0x00ffffff-no-rj")</f>
        <v>https://yt3.ggpht.com/ytc/AKedOLQ4AAlCjjMxJdWfe80hRkgzuO7yDEq9Q4Q4iAqTlA=s88-c-k-c0x00ffffff-no-rj</v>
      </c>
      <c r="AL52" s="80">
        <v>0</v>
      </c>
      <c r="AM52" s="80">
        <v>0</v>
      </c>
      <c r="AN52" s="80">
        <v>0</v>
      </c>
      <c r="AO52" s="80" t="b">
        <v>0</v>
      </c>
      <c r="AP52" s="80">
        <v>0</v>
      </c>
      <c r="AQ52" s="80"/>
      <c r="AR52" s="80"/>
      <c r="AS52" s="80" t="s">
        <v>1376</v>
      </c>
      <c r="AT52" s="85" t="str">
        <f>HYPERLINK("https://www.youtube.com/channel/UC2AjGU-bTVnwnKI40ucluew")</f>
        <v>https://www.youtube.com/channel/UC2AjGU-bTVnwnKI40ucluew</v>
      </c>
      <c r="AU52" s="80" t="str">
        <f>REPLACE(INDEX(GroupVertices[Group],MATCH(Vertices[[#This Row],[Vertex]],GroupVertices[Vertex],0)),1,1,"")</f>
        <v>21</v>
      </c>
      <c r="AV52" s="49">
        <v>0</v>
      </c>
      <c r="AW52" s="50">
        <v>0</v>
      </c>
      <c r="AX52" s="49">
        <v>0</v>
      </c>
      <c r="AY52" s="50">
        <v>0</v>
      </c>
      <c r="AZ52" s="49">
        <v>0</v>
      </c>
      <c r="BA52" s="50">
        <v>0</v>
      </c>
      <c r="BB52" s="49">
        <v>31</v>
      </c>
      <c r="BC52" s="50">
        <v>100</v>
      </c>
      <c r="BD52" s="49">
        <v>31</v>
      </c>
      <c r="BE52" s="49"/>
      <c r="BF52" s="49"/>
      <c r="BG52" s="49"/>
      <c r="BH52" s="49"/>
      <c r="BI52" s="49"/>
      <c r="BJ52" s="49"/>
      <c r="BK52" s="111" t="s">
        <v>2394</v>
      </c>
      <c r="BL52" s="111" t="s">
        <v>2394</v>
      </c>
      <c r="BM52" s="111" t="s">
        <v>2584</v>
      </c>
      <c r="BN52" s="111" t="s">
        <v>2584</v>
      </c>
      <c r="BO52" s="2"/>
      <c r="BP52" s="3"/>
      <c r="BQ52" s="3"/>
      <c r="BR52" s="3"/>
      <c r="BS52" s="3"/>
    </row>
    <row r="53" spans="1:71" ht="15">
      <c r="A53" s="65" t="s">
        <v>542</v>
      </c>
      <c r="B53" s="66"/>
      <c r="C53" s="66"/>
      <c r="D53" s="67">
        <v>150</v>
      </c>
      <c r="E53" s="69"/>
      <c r="F53" s="103" t="str">
        <f>HYPERLINK("https://yt3.ggpht.com/ytc/AKedOLRO0ihymI2OZIwy--o5xd3z0uGFmshlzXANM36Dzg=s88-c-k-c0x00ffffff-no-rj")</f>
        <v>https://yt3.ggpht.com/ytc/AKedOLRO0ihymI2OZIwy--o5xd3z0uGFmshlzXANM36Dzg=s88-c-k-c0x00ffffff-no-rj</v>
      </c>
      <c r="G53" s="66"/>
      <c r="H53" s="70" t="s">
        <v>1033</v>
      </c>
      <c r="I53" s="71"/>
      <c r="J53" s="71" t="s">
        <v>159</v>
      </c>
      <c r="K53" s="70" t="s">
        <v>1033</v>
      </c>
      <c r="L53" s="74">
        <v>1</v>
      </c>
      <c r="M53" s="75">
        <v>9006.53125</v>
      </c>
      <c r="N53" s="75">
        <v>341.8775634765625</v>
      </c>
      <c r="O53" s="76"/>
      <c r="P53" s="77"/>
      <c r="Q53" s="77"/>
      <c r="R53" s="89"/>
      <c r="S53" s="49">
        <v>2</v>
      </c>
      <c r="T53" s="49">
        <v>1</v>
      </c>
      <c r="U53" s="50">
        <v>0</v>
      </c>
      <c r="V53" s="50">
        <v>0.004484</v>
      </c>
      <c r="W53" s="50">
        <v>0</v>
      </c>
      <c r="X53" s="50">
        <v>0.004776</v>
      </c>
      <c r="Y53" s="50">
        <v>0</v>
      </c>
      <c r="Z53" s="50">
        <v>0</v>
      </c>
      <c r="AA53" s="72">
        <v>53</v>
      </c>
      <c r="AB53" s="72"/>
      <c r="AC53" s="73"/>
      <c r="AD53" s="80" t="s">
        <v>1033</v>
      </c>
      <c r="AE53" s="80" t="s">
        <v>1304</v>
      </c>
      <c r="AF53" s="80"/>
      <c r="AG53" s="80"/>
      <c r="AH53" s="80"/>
      <c r="AI53" s="80" t="s">
        <v>1351</v>
      </c>
      <c r="AJ53" s="87">
        <v>40865.641331018516</v>
      </c>
      <c r="AK53" s="85" t="str">
        <f>HYPERLINK("https://yt3.ggpht.com/ytc/AKedOLRO0ihymI2OZIwy--o5xd3z0uGFmshlzXANM36Dzg=s88-c-k-c0x00ffffff-no-rj")</f>
        <v>https://yt3.ggpht.com/ytc/AKedOLRO0ihymI2OZIwy--o5xd3z0uGFmshlzXANM36Dzg=s88-c-k-c0x00ffffff-no-rj</v>
      </c>
      <c r="AL53" s="80">
        <v>32556</v>
      </c>
      <c r="AM53" s="80">
        <v>0</v>
      </c>
      <c r="AN53" s="80">
        <v>0</v>
      </c>
      <c r="AO53" s="80" t="b">
        <v>1</v>
      </c>
      <c r="AP53" s="80">
        <v>32</v>
      </c>
      <c r="AQ53" s="80"/>
      <c r="AR53" s="80"/>
      <c r="AS53" s="80" t="s">
        <v>1376</v>
      </c>
      <c r="AT53" s="85" t="str">
        <f>HYPERLINK("https://www.youtube.com/channel/UCRZps3dH47Yd7pj8LmS7vmg")</f>
        <v>https://www.youtube.com/channel/UCRZps3dH47Yd7pj8LmS7vmg</v>
      </c>
      <c r="AU53" s="80" t="str">
        <f>REPLACE(INDEX(GroupVertices[Group],MATCH(Vertices[[#This Row],[Vertex]],GroupVertices[Vertex],0)),1,1,"")</f>
        <v>21</v>
      </c>
      <c r="AV53" s="49">
        <v>0</v>
      </c>
      <c r="AW53" s="50">
        <v>0</v>
      </c>
      <c r="AX53" s="49">
        <v>0</v>
      </c>
      <c r="AY53" s="50">
        <v>0</v>
      </c>
      <c r="AZ53" s="49">
        <v>0</v>
      </c>
      <c r="BA53" s="50">
        <v>0</v>
      </c>
      <c r="BB53" s="49">
        <v>57</v>
      </c>
      <c r="BC53" s="50">
        <v>100</v>
      </c>
      <c r="BD53" s="49">
        <v>57</v>
      </c>
      <c r="BE53" s="49" t="s">
        <v>2168</v>
      </c>
      <c r="BF53" s="49" t="s">
        <v>2168</v>
      </c>
      <c r="BG53" s="49" t="s">
        <v>1225</v>
      </c>
      <c r="BH53" s="49" t="s">
        <v>1225</v>
      </c>
      <c r="BI53" s="49"/>
      <c r="BJ53" s="49"/>
      <c r="BK53" s="111" t="s">
        <v>2232</v>
      </c>
      <c r="BL53" s="111" t="s">
        <v>2232</v>
      </c>
      <c r="BM53" s="111" t="s">
        <v>2331</v>
      </c>
      <c r="BN53" s="111" t="s">
        <v>2331</v>
      </c>
      <c r="BO53" s="2"/>
      <c r="BP53" s="3"/>
      <c r="BQ53" s="3"/>
      <c r="BR53" s="3"/>
      <c r="BS53" s="3"/>
    </row>
    <row r="54" spans="1:71" ht="15">
      <c r="A54" s="65" t="s">
        <v>381</v>
      </c>
      <c r="B54" s="66"/>
      <c r="C54" s="66"/>
      <c r="D54" s="67">
        <v>166.28352490421457</v>
      </c>
      <c r="E54" s="69"/>
      <c r="F54" s="103" t="str">
        <f>HYPERLINK("https://yt3.ggpht.com/ytc/AKedOLS075QzA9Dl6zZVDHXg4kk1ROHhybVaAXNJB62qek0=s88-c-k-c0x00ffffff-no-rj")</f>
        <v>https://yt3.ggpht.com/ytc/AKedOLS075QzA9Dl6zZVDHXg4kk1ROHhybVaAXNJB62qek0=s88-c-k-c0x00ffffff-no-rj</v>
      </c>
      <c r="G54" s="66"/>
      <c r="H54" s="70" t="s">
        <v>894</v>
      </c>
      <c r="I54" s="71"/>
      <c r="J54" s="71" t="s">
        <v>75</v>
      </c>
      <c r="K54" s="70" t="s">
        <v>894</v>
      </c>
      <c r="L54" s="74">
        <v>15.422792570429218</v>
      </c>
      <c r="M54" s="75">
        <v>4691.97314453125</v>
      </c>
      <c r="N54" s="75">
        <v>5210.12255859375</v>
      </c>
      <c r="O54" s="76"/>
      <c r="P54" s="77"/>
      <c r="Q54" s="77"/>
      <c r="R54" s="89"/>
      <c r="S54" s="49">
        <v>0</v>
      </c>
      <c r="T54" s="49">
        <v>7</v>
      </c>
      <c r="U54" s="50">
        <v>20</v>
      </c>
      <c r="V54" s="50">
        <v>0.033021</v>
      </c>
      <c r="W54" s="50">
        <v>0</v>
      </c>
      <c r="X54" s="50">
        <v>0.005547</v>
      </c>
      <c r="Y54" s="50">
        <v>0.14285714285714285</v>
      </c>
      <c r="Z54" s="50">
        <v>0</v>
      </c>
      <c r="AA54" s="72">
        <v>54</v>
      </c>
      <c r="AB54" s="72"/>
      <c r="AC54" s="73"/>
      <c r="AD54" s="80" t="s">
        <v>894</v>
      </c>
      <c r="AE54" s="80"/>
      <c r="AF54" s="80"/>
      <c r="AG54" s="80"/>
      <c r="AH54" s="80"/>
      <c r="AI54" s="80"/>
      <c r="AJ54" s="87">
        <v>38977.995833333334</v>
      </c>
      <c r="AK54" s="85" t="str">
        <f>HYPERLINK("https://yt3.ggpht.com/ytc/AKedOLS075QzA9Dl6zZVDHXg4kk1ROHhybVaAXNJB62qek0=s88-c-k-c0x00ffffff-no-rj")</f>
        <v>https://yt3.ggpht.com/ytc/AKedOLS075QzA9Dl6zZVDHXg4kk1ROHhybVaAXNJB62qek0=s88-c-k-c0x00ffffff-no-rj</v>
      </c>
      <c r="AL54" s="80">
        <v>0</v>
      </c>
      <c r="AM54" s="80">
        <v>0</v>
      </c>
      <c r="AN54" s="80">
        <v>2</v>
      </c>
      <c r="AO54" s="80" t="b">
        <v>0</v>
      </c>
      <c r="AP54" s="80">
        <v>0</v>
      </c>
      <c r="AQ54" s="80"/>
      <c r="AR54" s="80"/>
      <c r="AS54" s="80" t="s">
        <v>1376</v>
      </c>
      <c r="AT54" s="85" t="str">
        <f>HYPERLINK("https://www.youtube.com/channel/UCh5Vq5sKzfQftZkz3sqj8zQ")</f>
        <v>https://www.youtube.com/channel/UCh5Vq5sKzfQftZkz3sqj8zQ</v>
      </c>
      <c r="AU54" s="80" t="str">
        <f>REPLACE(INDEX(GroupVertices[Group],MATCH(Vertices[[#This Row],[Vertex]],GroupVertices[Vertex],0)),1,1,"")</f>
        <v>8</v>
      </c>
      <c r="AV54" s="49">
        <v>1</v>
      </c>
      <c r="AW54" s="50">
        <v>0.7936507936507936</v>
      </c>
      <c r="AX54" s="49">
        <v>0</v>
      </c>
      <c r="AY54" s="50">
        <v>0</v>
      </c>
      <c r="AZ54" s="49">
        <v>0</v>
      </c>
      <c r="BA54" s="50">
        <v>0</v>
      </c>
      <c r="BB54" s="49">
        <v>125</v>
      </c>
      <c r="BC54" s="50">
        <v>99.2063492063492</v>
      </c>
      <c r="BD54" s="49">
        <v>126</v>
      </c>
      <c r="BE54" s="49" t="s">
        <v>2151</v>
      </c>
      <c r="BF54" s="49" t="s">
        <v>2151</v>
      </c>
      <c r="BG54" s="49" t="s">
        <v>1225</v>
      </c>
      <c r="BH54" s="49" t="s">
        <v>1225</v>
      </c>
      <c r="BI54" s="49"/>
      <c r="BJ54" s="49"/>
      <c r="BK54" s="111" t="s">
        <v>2395</v>
      </c>
      <c r="BL54" s="111" t="s">
        <v>2528</v>
      </c>
      <c r="BM54" s="111" t="s">
        <v>2585</v>
      </c>
      <c r="BN54" s="111" t="s">
        <v>2713</v>
      </c>
      <c r="BO54" s="2"/>
      <c r="BP54" s="3"/>
      <c r="BQ54" s="3"/>
      <c r="BR54" s="3"/>
      <c r="BS54" s="3"/>
    </row>
    <row r="55" spans="1:71" ht="15">
      <c r="A55" s="65" t="s">
        <v>382</v>
      </c>
      <c r="B55" s="66"/>
      <c r="C55" s="66"/>
      <c r="D55" s="67">
        <v>150</v>
      </c>
      <c r="E55" s="69"/>
      <c r="F55" s="103" t="str">
        <f>HYPERLINK("https://yt3.ggpht.com/ytc/AKedOLR-CsGfyGjZ2inKSIlpCIG-hJvZoh4ej33IG7Dv3w=s88-c-k-c0x00ffffff-no-rj")</f>
        <v>https://yt3.ggpht.com/ytc/AKedOLR-CsGfyGjZ2inKSIlpCIG-hJvZoh4ej33IG7Dv3w=s88-c-k-c0x00ffffff-no-rj</v>
      </c>
      <c r="G55" s="66"/>
      <c r="H55" s="70" t="s">
        <v>895</v>
      </c>
      <c r="I55" s="71"/>
      <c r="J55" s="71" t="s">
        <v>159</v>
      </c>
      <c r="K55" s="70" t="s">
        <v>895</v>
      </c>
      <c r="L55" s="74">
        <v>1</v>
      </c>
      <c r="M55" s="75">
        <v>4468.29541015625</v>
      </c>
      <c r="N55" s="75">
        <v>6225.0986328125</v>
      </c>
      <c r="O55" s="76"/>
      <c r="P55" s="77"/>
      <c r="Q55" s="77"/>
      <c r="R55" s="89"/>
      <c r="S55" s="49">
        <v>1</v>
      </c>
      <c r="T55" s="49">
        <v>1</v>
      </c>
      <c r="U55" s="50">
        <v>0</v>
      </c>
      <c r="V55" s="50">
        <v>0.021366</v>
      </c>
      <c r="W55" s="50">
        <v>0</v>
      </c>
      <c r="X55" s="50">
        <v>0.004018</v>
      </c>
      <c r="Y55" s="50">
        <v>0.5</v>
      </c>
      <c r="Z55" s="50">
        <v>0</v>
      </c>
      <c r="AA55" s="72">
        <v>55</v>
      </c>
      <c r="AB55" s="72"/>
      <c r="AC55" s="73"/>
      <c r="AD55" s="80" t="s">
        <v>895</v>
      </c>
      <c r="AE55" s="80"/>
      <c r="AF55" s="80"/>
      <c r="AG55" s="80"/>
      <c r="AH55" s="80"/>
      <c r="AI55" s="80"/>
      <c r="AJ55" s="87">
        <v>41241.602326388886</v>
      </c>
      <c r="AK55" s="85" t="str">
        <f>HYPERLINK("https://yt3.ggpht.com/ytc/AKedOLR-CsGfyGjZ2inKSIlpCIG-hJvZoh4ej33IG7Dv3w=s88-c-k-c0x00ffffff-no-rj")</f>
        <v>https://yt3.ggpht.com/ytc/AKedOLR-CsGfyGjZ2inKSIlpCIG-hJvZoh4ej33IG7Dv3w=s88-c-k-c0x00ffffff-no-rj</v>
      </c>
      <c r="AL55" s="80">
        <v>0</v>
      </c>
      <c r="AM55" s="80">
        <v>0</v>
      </c>
      <c r="AN55" s="80">
        <v>80</v>
      </c>
      <c r="AO55" s="80" t="b">
        <v>0</v>
      </c>
      <c r="AP55" s="80">
        <v>0</v>
      </c>
      <c r="AQ55" s="80"/>
      <c r="AR55" s="80"/>
      <c r="AS55" s="80" t="s">
        <v>1376</v>
      </c>
      <c r="AT55" s="85" t="str">
        <f>HYPERLINK("https://www.youtube.com/channel/UCbtGUyX5iHwuOUqh6mKuEvw")</f>
        <v>https://www.youtube.com/channel/UCbtGUyX5iHwuOUqh6mKuEvw</v>
      </c>
      <c r="AU55" s="80" t="str">
        <f>REPLACE(INDEX(GroupVertices[Group],MATCH(Vertices[[#This Row],[Vertex]],GroupVertices[Vertex],0)),1,1,"")</f>
        <v>8</v>
      </c>
      <c r="AV55" s="49">
        <v>0</v>
      </c>
      <c r="AW55" s="50">
        <v>0</v>
      </c>
      <c r="AX55" s="49">
        <v>0</v>
      </c>
      <c r="AY55" s="50">
        <v>0</v>
      </c>
      <c r="AZ55" s="49">
        <v>0</v>
      </c>
      <c r="BA55" s="50">
        <v>0</v>
      </c>
      <c r="BB55" s="49">
        <v>6</v>
      </c>
      <c r="BC55" s="50">
        <v>100</v>
      </c>
      <c r="BD55" s="49">
        <v>6</v>
      </c>
      <c r="BE55" s="49"/>
      <c r="BF55" s="49"/>
      <c r="BG55" s="49"/>
      <c r="BH55" s="49"/>
      <c r="BI55" s="49"/>
      <c r="BJ55" s="49"/>
      <c r="BK55" s="111" t="s">
        <v>2396</v>
      </c>
      <c r="BL55" s="111" t="s">
        <v>2396</v>
      </c>
      <c r="BM55" s="111" t="s">
        <v>2586</v>
      </c>
      <c r="BN55" s="111" t="s">
        <v>2586</v>
      </c>
      <c r="BO55" s="2"/>
      <c r="BP55" s="3"/>
      <c r="BQ55" s="3"/>
      <c r="BR55" s="3"/>
      <c r="BS55" s="3"/>
    </row>
    <row r="56" spans="1:71" ht="15">
      <c r="A56" s="65" t="s">
        <v>543</v>
      </c>
      <c r="B56" s="66"/>
      <c r="C56" s="66"/>
      <c r="D56" s="67">
        <v>179.31034482758622</v>
      </c>
      <c r="E56" s="69"/>
      <c r="F56" s="103" t="str">
        <f>HYPERLINK("https://yt3.ggpht.com/ytc/AKedOLSkT7c6POKAYtHG54r2Oasw9Y8dm76iPkeLLszr=s88-c-k-c0x00ffffff-no-rj")</f>
        <v>https://yt3.ggpht.com/ytc/AKedOLSkT7c6POKAYtHG54r2Oasw9Y8dm76iPkeLLszr=s88-c-k-c0x00ffffff-no-rj</v>
      </c>
      <c r="G56" s="66"/>
      <c r="H56" s="70" t="s">
        <v>1259</v>
      </c>
      <c r="I56" s="71"/>
      <c r="J56" s="71" t="s">
        <v>75</v>
      </c>
      <c r="K56" s="70" t="s">
        <v>1259</v>
      </c>
      <c r="L56" s="74">
        <v>26.96102662677259</v>
      </c>
      <c r="M56" s="75">
        <v>4454.43798828125</v>
      </c>
      <c r="N56" s="75">
        <v>5451.4443359375</v>
      </c>
      <c r="O56" s="76"/>
      <c r="P56" s="77"/>
      <c r="Q56" s="77"/>
      <c r="R56" s="89"/>
      <c r="S56" s="49">
        <v>9</v>
      </c>
      <c r="T56" s="49">
        <v>1</v>
      </c>
      <c r="U56" s="50">
        <v>36</v>
      </c>
      <c r="V56" s="50">
        <v>0.036323</v>
      </c>
      <c r="W56" s="50">
        <v>0</v>
      </c>
      <c r="X56" s="50">
        <v>0.00625</v>
      </c>
      <c r="Y56" s="50">
        <v>0.10714285714285714</v>
      </c>
      <c r="Z56" s="50">
        <v>0</v>
      </c>
      <c r="AA56" s="72">
        <v>56</v>
      </c>
      <c r="AB56" s="72"/>
      <c r="AC56" s="73"/>
      <c r="AD56" s="80" t="s">
        <v>1259</v>
      </c>
      <c r="AE56" s="80"/>
      <c r="AF56" s="80"/>
      <c r="AG56" s="80"/>
      <c r="AH56" s="80"/>
      <c r="AI56" s="80"/>
      <c r="AJ56" s="87">
        <v>41134.643530092595</v>
      </c>
      <c r="AK56" s="85" t="str">
        <f>HYPERLINK("https://yt3.ggpht.com/ytc/AKedOLSkT7c6POKAYtHG54r2Oasw9Y8dm76iPkeLLszr=s88-c-k-c0x00ffffff-no-rj")</f>
        <v>https://yt3.ggpht.com/ytc/AKedOLSkT7c6POKAYtHG54r2Oasw9Y8dm76iPkeLLszr=s88-c-k-c0x00ffffff-no-rj</v>
      </c>
      <c r="AL56" s="80">
        <v>77984</v>
      </c>
      <c r="AM56" s="80">
        <v>0</v>
      </c>
      <c r="AN56" s="80">
        <v>443</v>
      </c>
      <c r="AO56" s="80" t="b">
        <v>0</v>
      </c>
      <c r="AP56" s="80">
        <v>12</v>
      </c>
      <c r="AQ56" s="80"/>
      <c r="AR56" s="80"/>
      <c r="AS56" s="80" t="s">
        <v>1376</v>
      </c>
      <c r="AT56" s="85" t="str">
        <f>HYPERLINK("https://www.youtube.com/channel/UCoVrqzF4FU2Lv5vnB_JXchA")</f>
        <v>https://www.youtube.com/channel/UCoVrqzF4FU2Lv5vnB_JXchA</v>
      </c>
      <c r="AU56" s="80" t="str">
        <f>REPLACE(INDEX(GroupVertices[Group],MATCH(Vertices[[#This Row],[Vertex]],GroupVertices[Vertex],0)),1,1,"")</f>
        <v>8</v>
      </c>
      <c r="AV56" s="49"/>
      <c r="AW56" s="50"/>
      <c r="AX56" s="49"/>
      <c r="AY56" s="50"/>
      <c r="AZ56" s="49"/>
      <c r="BA56" s="50"/>
      <c r="BB56" s="49"/>
      <c r="BC56" s="50"/>
      <c r="BD56" s="49"/>
      <c r="BE56" s="49"/>
      <c r="BF56" s="49"/>
      <c r="BG56" s="49"/>
      <c r="BH56" s="49"/>
      <c r="BI56" s="49"/>
      <c r="BJ56" s="49"/>
      <c r="BK56" s="111" t="s">
        <v>1239</v>
      </c>
      <c r="BL56" s="111" t="s">
        <v>1239</v>
      </c>
      <c r="BM56" s="111" t="s">
        <v>1239</v>
      </c>
      <c r="BN56" s="111" t="s">
        <v>1239</v>
      </c>
      <c r="BO56" s="2"/>
      <c r="BP56" s="3"/>
      <c r="BQ56" s="3"/>
      <c r="BR56" s="3"/>
      <c r="BS56" s="3"/>
    </row>
    <row r="57" spans="1:71" ht="15">
      <c r="A57" s="65" t="s">
        <v>383</v>
      </c>
      <c r="B57" s="66"/>
      <c r="C57" s="66"/>
      <c r="D57" s="67">
        <v>150</v>
      </c>
      <c r="E57" s="69"/>
      <c r="F57" s="103" t="str">
        <f>HYPERLINK("https://yt3.ggpht.com/ytc/AKedOLQzG-gBUb4VZqIp5E4T-YvHw7XXomVSBLitiA=s88-c-k-c0x00ffffff-no-rj")</f>
        <v>https://yt3.ggpht.com/ytc/AKedOLQzG-gBUb4VZqIp5E4T-YvHw7XXomVSBLitiA=s88-c-k-c0x00ffffff-no-rj</v>
      </c>
      <c r="G57" s="66"/>
      <c r="H57" s="70" t="s">
        <v>896</v>
      </c>
      <c r="I57" s="71"/>
      <c r="J57" s="71" t="s">
        <v>159</v>
      </c>
      <c r="K57" s="70" t="s">
        <v>896</v>
      </c>
      <c r="L57" s="74">
        <v>1</v>
      </c>
      <c r="M57" s="75">
        <v>5171.08056640625</v>
      </c>
      <c r="N57" s="75">
        <v>4841.60791015625</v>
      </c>
      <c r="O57" s="76"/>
      <c r="P57" s="77"/>
      <c r="Q57" s="77"/>
      <c r="R57" s="89"/>
      <c r="S57" s="49">
        <v>1</v>
      </c>
      <c r="T57" s="49">
        <v>1</v>
      </c>
      <c r="U57" s="50">
        <v>0</v>
      </c>
      <c r="V57" s="50">
        <v>0.021366</v>
      </c>
      <c r="W57" s="50">
        <v>0</v>
      </c>
      <c r="X57" s="50">
        <v>0.004018</v>
      </c>
      <c r="Y57" s="50">
        <v>0.5</v>
      </c>
      <c r="Z57" s="50">
        <v>0</v>
      </c>
      <c r="AA57" s="72">
        <v>57</v>
      </c>
      <c r="AB57" s="72"/>
      <c r="AC57" s="73"/>
      <c r="AD57" s="80" t="s">
        <v>896</v>
      </c>
      <c r="AE57" s="80"/>
      <c r="AF57" s="80"/>
      <c r="AG57" s="80"/>
      <c r="AH57" s="80"/>
      <c r="AI57" s="80"/>
      <c r="AJ57" s="87">
        <v>40624.24621527778</v>
      </c>
      <c r="AK57" s="85" t="str">
        <f>HYPERLINK("https://yt3.ggpht.com/ytc/AKedOLQzG-gBUb4VZqIp5E4T-YvHw7XXomVSBLitiA=s88-c-k-c0x00ffffff-no-rj")</f>
        <v>https://yt3.ggpht.com/ytc/AKedOLQzG-gBUb4VZqIp5E4T-YvHw7XXomVSBLitiA=s88-c-k-c0x00ffffff-no-rj</v>
      </c>
      <c r="AL57" s="80">
        <v>0</v>
      </c>
      <c r="AM57" s="80">
        <v>0</v>
      </c>
      <c r="AN57" s="80">
        <v>2</v>
      </c>
      <c r="AO57" s="80" t="b">
        <v>0</v>
      </c>
      <c r="AP57" s="80">
        <v>0</v>
      </c>
      <c r="AQ57" s="80"/>
      <c r="AR57" s="80"/>
      <c r="AS57" s="80" t="s">
        <v>1376</v>
      </c>
      <c r="AT57" s="85" t="str">
        <f>HYPERLINK("https://www.youtube.com/channel/UCz799FrP_bspgWNMBVRz5JQ")</f>
        <v>https://www.youtube.com/channel/UCz799FrP_bspgWNMBVRz5JQ</v>
      </c>
      <c r="AU57" s="80" t="str">
        <f>REPLACE(INDEX(GroupVertices[Group],MATCH(Vertices[[#This Row],[Vertex]],GroupVertices[Vertex],0)),1,1,"")</f>
        <v>8</v>
      </c>
      <c r="AV57" s="49">
        <v>0</v>
      </c>
      <c r="AW57" s="50">
        <v>0</v>
      </c>
      <c r="AX57" s="49">
        <v>0</v>
      </c>
      <c r="AY57" s="50">
        <v>0</v>
      </c>
      <c r="AZ57" s="49">
        <v>0</v>
      </c>
      <c r="BA57" s="50">
        <v>0</v>
      </c>
      <c r="BB57" s="49">
        <v>12</v>
      </c>
      <c r="BC57" s="50">
        <v>100</v>
      </c>
      <c r="BD57" s="49">
        <v>12</v>
      </c>
      <c r="BE57" s="49"/>
      <c r="BF57" s="49"/>
      <c r="BG57" s="49"/>
      <c r="BH57" s="49"/>
      <c r="BI57" s="49"/>
      <c r="BJ57" s="49"/>
      <c r="BK57" s="111" t="s">
        <v>2397</v>
      </c>
      <c r="BL57" s="111" t="s">
        <v>2397</v>
      </c>
      <c r="BM57" s="111" t="s">
        <v>2587</v>
      </c>
      <c r="BN57" s="111" t="s">
        <v>2587</v>
      </c>
      <c r="BO57" s="2"/>
      <c r="BP57" s="3"/>
      <c r="BQ57" s="3"/>
      <c r="BR57" s="3"/>
      <c r="BS57" s="3"/>
    </row>
    <row r="58" spans="1:71" ht="15">
      <c r="A58" s="65" t="s">
        <v>384</v>
      </c>
      <c r="B58" s="66"/>
      <c r="C58" s="66"/>
      <c r="D58" s="67">
        <v>150</v>
      </c>
      <c r="E58" s="69"/>
      <c r="F58" s="103" t="str">
        <f>HYPERLINK("https://yt3.ggpht.com/ytc/AKedOLTFSRtH3Gp1G2s5rACWIDahKf0czzfP06Znj0bVNw=s88-c-k-c0x00ffffff-no-rj")</f>
        <v>https://yt3.ggpht.com/ytc/AKedOLTFSRtH3Gp1G2s5rACWIDahKf0czzfP06Znj0bVNw=s88-c-k-c0x00ffffff-no-rj</v>
      </c>
      <c r="G58" s="66"/>
      <c r="H58" s="70" t="s">
        <v>897</v>
      </c>
      <c r="I58" s="71"/>
      <c r="J58" s="71" t="s">
        <v>159</v>
      </c>
      <c r="K58" s="70" t="s">
        <v>897</v>
      </c>
      <c r="L58" s="74">
        <v>1</v>
      </c>
      <c r="M58" s="75">
        <v>4093.119140625</v>
      </c>
      <c r="N58" s="75">
        <v>4619.58154296875</v>
      </c>
      <c r="O58" s="76"/>
      <c r="P58" s="77"/>
      <c r="Q58" s="77"/>
      <c r="R58" s="89"/>
      <c r="S58" s="49">
        <v>1</v>
      </c>
      <c r="T58" s="49">
        <v>1</v>
      </c>
      <c r="U58" s="50">
        <v>0</v>
      </c>
      <c r="V58" s="50">
        <v>0.021366</v>
      </c>
      <c r="W58" s="50">
        <v>0</v>
      </c>
      <c r="X58" s="50">
        <v>0.004018</v>
      </c>
      <c r="Y58" s="50">
        <v>0.5</v>
      </c>
      <c r="Z58" s="50">
        <v>0</v>
      </c>
      <c r="AA58" s="72">
        <v>58</v>
      </c>
      <c r="AB58" s="72"/>
      <c r="AC58" s="73"/>
      <c r="AD58" s="80" t="s">
        <v>897</v>
      </c>
      <c r="AE58" s="80"/>
      <c r="AF58" s="80"/>
      <c r="AG58" s="80"/>
      <c r="AH58" s="80"/>
      <c r="AI58" s="80"/>
      <c r="AJ58" s="87">
        <v>41061.755949074075</v>
      </c>
      <c r="AK58" s="85" t="str">
        <f>HYPERLINK("https://yt3.ggpht.com/ytc/AKedOLTFSRtH3Gp1G2s5rACWIDahKf0czzfP06Znj0bVNw=s88-c-k-c0x00ffffff-no-rj")</f>
        <v>https://yt3.ggpht.com/ytc/AKedOLTFSRtH3Gp1G2s5rACWIDahKf0czzfP06Znj0bVNw=s88-c-k-c0x00ffffff-no-rj</v>
      </c>
      <c r="AL58" s="80">
        <v>0</v>
      </c>
      <c r="AM58" s="80">
        <v>0</v>
      </c>
      <c r="AN58" s="80">
        <v>0</v>
      </c>
      <c r="AO58" s="80" t="b">
        <v>0</v>
      </c>
      <c r="AP58" s="80">
        <v>0</v>
      </c>
      <c r="AQ58" s="80"/>
      <c r="AR58" s="80"/>
      <c r="AS58" s="80" t="s">
        <v>1376</v>
      </c>
      <c r="AT58" s="85" t="str">
        <f>HYPERLINK("https://www.youtube.com/channel/UC8VGjN2NAbDcGbnw8kcioqw")</f>
        <v>https://www.youtube.com/channel/UC8VGjN2NAbDcGbnw8kcioqw</v>
      </c>
      <c r="AU58" s="80" t="str">
        <f>REPLACE(INDEX(GroupVertices[Group],MATCH(Vertices[[#This Row],[Vertex]],GroupVertices[Vertex],0)),1,1,"")</f>
        <v>8</v>
      </c>
      <c r="AV58" s="49">
        <v>0</v>
      </c>
      <c r="AW58" s="50">
        <v>0</v>
      </c>
      <c r="AX58" s="49">
        <v>0</v>
      </c>
      <c r="AY58" s="50">
        <v>0</v>
      </c>
      <c r="AZ58" s="49">
        <v>0</v>
      </c>
      <c r="BA58" s="50">
        <v>0</v>
      </c>
      <c r="BB58" s="49">
        <v>30</v>
      </c>
      <c r="BC58" s="50">
        <v>100</v>
      </c>
      <c r="BD58" s="49">
        <v>30</v>
      </c>
      <c r="BE58" s="49"/>
      <c r="BF58" s="49"/>
      <c r="BG58" s="49"/>
      <c r="BH58" s="49"/>
      <c r="BI58" s="49"/>
      <c r="BJ58" s="49"/>
      <c r="BK58" s="111" t="s">
        <v>2398</v>
      </c>
      <c r="BL58" s="111" t="s">
        <v>2398</v>
      </c>
      <c r="BM58" s="111" t="s">
        <v>2588</v>
      </c>
      <c r="BN58" s="111" t="s">
        <v>2588</v>
      </c>
      <c r="BO58" s="2"/>
      <c r="BP58" s="3"/>
      <c r="BQ58" s="3"/>
      <c r="BR58" s="3"/>
      <c r="BS58" s="3"/>
    </row>
    <row r="59" spans="1:71" ht="15">
      <c r="A59" s="65" t="s">
        <v>385</v>
      </c>
      <c r="B59" s="66"/>
      <c r="C59" s="66"/>
      <c r="D59" s="67">
        <v>150</v>
      </c>
      <c r="E59" s="69"/>
      <c r="F59" s="103" t="str">
        <f>HYPERLINK("https://yt3.ggpht.com/ytc/AKedOLSupkoMkl4DuSmIExINW3yEds-q8SB_j2E9kbUMupQ=s88-c-k-c0x00ffffff-no-rj")</f>
        <v>https://yt3.ggpht.com/ytc/AKedOLSupkoMkl4DuSmIExINW3yEds-q8SB_j2E9kbUMupQ=s88-c-k-c0x00ffffff-no-rj</v>
      </c>
      <c r="G59" s="66"/>
      <c r="H59" s="70" t="s">
        <v>898</v>
      </c>
      <c r="I59" s="71"/>
      <c r="J59" s="71" t="s">
        <v>159</v>
      </c>
      <c r="K59" s="70" t="s">
        <v>898</v>
      </c>
      <c r="L59" s="74">
        <v>1</v>
      </c>
      <c r="M59" s="75">
        <v>5753.14013671875</v>
      </c>
      <c r="N59" s="75">
        <v>6396.4189453125</v>
      </c>
      <c r="O59" s="76"/>
      <c r="P59" s="77"/>
      <c r="Q59" s="77"/>
      <c r="R59" s="89"/>
      <c r="S59" s="49">
        <v>0</v>
      </c>
      <c r="T59" s="49">
        <v>1</v>
      </c>
      <c r="U59" s="50">
        <v>0</v>
      </c>
      <c r="V59" s="50">
        <v>0.015793</v>
      </c>
      <c r="W59" s="50">
        <v>0</v>
      </c>
      <c r="X59" s="50">
        <v>0.004026</v>
      </c>
      <c r="Y59" s="50">
        <v>0</v>
      </c>
      <c r="Z59" s="50">
        <v>0</v>
      </c>
      <c r="AA59" s="72">
        <v>59</v>
      </c>
      <c r="AB59" s="72"/>
      <c r="AC59" s="73"/>
      <c r="AD59" s="80" t="s">
        <v>898</v>
      </c>
      <c r="AE59" s="80"/>
      <c r="AF59" s="80"/>
      <c r="AG59" s="80"/>
      <c r="AH59" s="80"/>
      <c r="AI59" s="80"/>
      <c r="AJ59" s="87">
        <v>40056.64098379629</v>
      </c>
      <c r="AK59" s="85" t="str">
        <f>HYPERLINK("https://yt3.ggpht.com/ytc/AKedOLSupkoMkl4DuSmIExINW3yEds-q8SB_j2E9kbUMupQ=s88-c-k-c0x00ffffff-no-rj")</f>
        <v>https://yt3.ggpht.com/ytc/AKedOLSupkoMkl4DuSmIExINW3yEds-q8SB_j2E9kbUMupQ=s88-c-k-c0x00ffffff-no-rj</v>
      </c>
      <c r="AL59" s="80">
        <v>0</v>
      </c>
      <c r="AM59" s="80">
        <v>0</v>
      </c>
      <c r="AN59" s="80">
        <v>1</v>
      </c>
      <c r="AO59" s="80" t="b">
        <v>0</v>
      </c>
      <c r="AP59" s="80">
        <v>0</v>
      </c>
      <c r="AQ59" s="80"/>
      <c r="AR59" s="80"/>
      <c r="AS59" s="80" t="s">
        <v>1376</v>
      </c>
      <c r="AT59" s="85" t="str">
        <f>HYPERLINK("https://www.youtube.com/channel/UC3SVNW8fO0QB0VQgw-Cboeg")</f>
        <v>https://www.youtube.com/channel/UC3SVNW8fO0QB0VQgw-Cboeg</v>
      </c>
      <c r="AU59" s="80" t="str">
        <f>REPLACE(INDEX(GroupVertices[Group],MATCH(Vertices[[#This Row],[Vertex]],GroupVertices[Vertex],0)),1,1,"")</f>
        <v>8</v>
      </c>
      <c r="AV59" s="49">
        <v>0</v>
      </c>
      <c r="AW59" s="50">
        <v>0</v>
      </c>
      <c r="AX59" s="49">
        <v>0</v>
      </c>
      <c r="AY59" s="50">
        <v>0</v>
      </c>
      <c r="AZ59" s="49">
        <v>0</v>
      </c>
      <c r="BA59" s="50">
        <v>0</v>
      </c>
      <c r="BB59" s="49">
        <v>24</v>
      </c>
      <c r="BC59" s="50">
        <v>100</v>
      </c>
      <c r="BD59" s="49">
        <v>24</v>
      </c>
      <c r="BE59" s="49"/>
      <c r="BF59" s="49"/>
      <c r="BG59" s="49"/>
      <c r="BH59" s="49"/>
      <c r="BI59" s="49"/>
      <c r="BJ59" s="49"/>
      <c r="BK59" s="111" t="s">
        <v>2399</v>
      </c>
      <c r="BL59" s="111" t="s">
        <v>2399</v>
      </c>
      <c r="BM59" s="111" t="s">
        <v>2589</v>
      </c>
      <c r="BN59" s="111" t="s">
        <v>2589</v>
      </c>
      <c r="BO59" s="2"/>
      <c r="BP59" s="3"/>
      <c r="BQ59" s="3"/>
      <c r="BR59" s="3"/>
      <c r="BS59" s="3"/>
    </row>
    <row r="60" spans="1:71" ht="15">
      <c r="A60" s="65" t="s">
        <v>386</v>
      </c>
      <c r="B60" s="66"/>
      <c r="C60" s="66"/>
      <c r="D60" s="67">
        <v>163.02681992337165</v>
      </c>
      <c r="E60" s="69"/>
      <c r="F60" s="103" t="str">
        <f>HYPERLINK("https://yt3.ggpht.com/ytc/AKedOLQ4PGz2Ira6_qcHjXOeIlV0i7XwXZKmamt512HRCbQ=s88-c-k-c0x00ffffff-no-rj")</f>
        <v>https://yt3.ggpht.com/ytc/AKedOLQ4PGz2Ira6_qcHjXOeIlV0i7XwXZKmamt512HRCbQ=s88-c-k-c0x00ffffff-no-rj</v>
      </c>
      <c r="G60" s="66"/>
      <c r="H60" s="70" t="s">
        <v>899</v>
      </c>
      <c r="I60" s="71"/>
      <c r="J60" s="71" t="s">
        <v>75</v>
      </c>
      <c r="K60" s="70" t="s">
        <v>899</v>
      </c>
      <c r="L60" s="74">
        <v>12.538234056343374</v>
      </c>
      <c r="M60" s="75">
        <v>5161.9453125</v>
      </c>
      <c r="N60" s="75">
        <v>5886.0673828125</v>
      </c>
      <c r="O60" s="76"/>
      <c r="P60" s="77"/>
      <c r="Q60" s="77"/>
      <c r="R60" s="89"/>
      <c r="S60" s="49">
        <v>2</v>
      </c>
      <c r="T60" s="49">
        <v>1</v>
      </c>
      <c r="U60" s="50">
        <v>16</v>
      </c>
      <c r="V60" s="50">
        <v>0.024215</v>
      </c>
      <c r="W60" s="50">
        <v>0</v>
      </c>
      <c r="X60" s="50">
        <v>0.004622</v>
      </c>
      <c r="Y60" s="50">
        <v>0.16666666666666666</v>
      </c>
      <c r="Z60" s="50">
        <v>0</v>
      </c>
      <c r="AA60" s="72">
        <v>60</v>
      </c>
      <c r="AB60" s="72"/>
      <c r="AC60" s="73"/>
      <c r="AD60" s="80" t="s">
        <v>899</v>
      </c>
      <c r="AE60" s="80" t="s">
        <v>1305</v>
      </c>
      <c r="AF60" s="80"/>
      <c r="AG60" s="80"/>
      <c r="AH60" s="80"/>
      <c r="AI60" s="80" t="s">
        <v>1352</v>
      </c>
      <c r="AJ60" s="87">
        <v>39259.97304398148</v>
      </c>
      <c r="AK60" s="85" t="str">
        <f>HYPERLINK("https://yt3.ggpht.com/ytc/AKedOLQ4PGz2Ira6_qcHjXOeIlV0i7XwXZKmamt512HRCbQ=s88-c-k-c0x00ffffff-no-rj")</f>
        <v>https://yt3.ggpht.com/ytc/AKedOLQ4PGz2Ira6_qcHjXOeIlV0i7XwXZKmamt512HRCbQ=s88-c-k-c0x00ffffff-no-rj</v>
      </c>
      <c r="AL60" s="80">
        <v>915138</v>
      </c>
      <c r="AM60" s="80">
        <v>0</v>
      </c>
      <c r="AN60" s="80">
        <v>354</v>
      </c>
      <c r="AO60" s="80" t="b">
        <v>0</v>
      </c>
      <c r="AP60" s="80">
        <v>41</v>
      </c>
      <c r="AQ60" s="80"/>
      <c r="AR60" s="80"/>
      <c r="AS60" s="80" t="s">
        <v>1376</v>
      </c>
      <c r="AT60" s="85" t="str">
        <f>HYPERLINK("https://www.youtube.com/channel/UCB14GBHsqGQ0iUL121nwOKQ")</f>
        <v>https://www.youtube.com/channel/UCB14GBHsqGQ0iUL121nwOKQ</v>
      </c>
      <c r="AU60" s="80" t="str">
        <f>REPLACE(INDEX(GroupVertices[Group],MATCH(Vertices[[#This Row],[Vertex]],GroupVertices[Vertex],0)),1,1,"")</f>
        <v>8</v>
      </c>
      <c r="AV60" s="49">
        <v>0</v>
      </c>
      <c r="AW60" s="50">
        <v>0</v>
      </c>
      <c r="AX60" s="49">
        <v>0</v>
      </c>
      <c r="AY60" s="50">
        <v>0</v>
      </c>
      <c r="AZ60" s="49">
        <v>0</v>
      </c>
      <c r="BA60" s="50">
        <v>0</v>
      </c>
      <c r="BB60" s="49">
        <v>52</v>
      </c>
      <c r="BC60" s="50">
        <v>100</v>
      </c>
      <c r="BD60" s="49">
        <v>52</v>
      </c>
      <c r="BE60" s="49"/>
      <c r="BF60" s="49"/>
      <c r="BG60" s="49"/>
      <c r="BH60" s="49"/>
      <c r="BI60" s="49"/>
      <c r="BJ60" s="49"/>
      <c r="BK60" s="111" t="s">
        <v>2400</v>
      </c>
      <c r="BL60" s="111" t="s">
        <v>2400</v>
      </c>
      <c r="BM60" s="111" t="s">
        <v>2590</v>
      </c>
      <c r="BN60" s="111" t="s">
        <v>2590</v>
      </c>
      <c r="BO60" s="2"/>
      <c r="BP60" s="3"/>
      <c r="BQ60" s="3"/>
      <c r="BR60" s="3"/>
      <c r="BS60" s="3"/>
    </row>
    <row r="61" spans="1:71" ht="15">
      <c r="A61" s="65" t="s">
        <v>387</v>
      </c>
      <c r="B61" s="66"/>
      <c r="C61" s="66"/>
      <c r="D61" s="67">
        <v>150</v>
      </c>
      <c r="E61" s="69"/>
      <c r="F61" s="103" t="str">
        <f>HYPERLINK("https://yt3.ggpht.com/ytc/AKedOLQngI-zjB3KZtPHce0fxmJohbsYBIYo5_APOQ=s88-c-k-c0x00ffffff-no-rj")</f>
        <v>https://yt3.ggpht.com/ytc/AKedOLQngI-zjB3KZtPHce0fxmJohbsYBIYo5_APOQ=s88-c-k-c0x00ffffff-no-rj</v>
      </c>
      <c r="G61" s="66"/>
      <c r="H61" s="70" t="s">
        <v>900</v>
      </c>
      <c r="I61" s="71"/>
      <c r="J61" s="71" t="s">
        <v>159</v>
      </c>
      <c r="K61" s="70" t="s">
        <v>900</v>
      </c>
      <c r="L61" s="74">
        <v>1</v>
      </c>
      <c r="M61" s="75">
        <v>3837.324462890625</v>
      </c>
      <c r="N61" s="75">
        <v>5256.9189453125</v>
      </c>
      <c r="O61" s="76"/>
      <c r="P61" s="77"/>
      <c r="Q61" s="77"/>
      <c r="R61" s="89"/>
      <c r="S61" s="49">
        <v>1</v>
      </c>
      <c r="T61" s="49">
        <v>1</v>
      </c>
      <c r="U61" s="50">
        <v>0</v>
      </c>
      <c r="V61" s="50">
        <v>0.021366</v>
      </c>
      <c r="W61" s="50">
        <v>0</v>
      </c>
      <c r="X61" s="50">
        <v>0.004018</v>
      </c>
      <c r="Y61" s="50">
        <v>0.5</v>
      </c>
      <c r="Z61" s="50">
        <v>0</v>
      </c>
      <c r="AA61" s="72">
        <v>61</v>
      </c>
      <c r="AB61" s="72"/>
      <c r="AC61" s="73"/>
      <c r="AD61" s="80" t="s">
        <v>900</v>
      </c>
      <c r="AE61" s="80"/>
      <c r="AF61" s="80"/>
      <c r="AG61" s="80"/>
      <c r="AH61" s="80"/>
      <c r="AI61" s="80"/>
      <c r="AJ61" s="87">
        <v>40416.790625</v>
      </c>
      <c r="AK61" s="85" t="str">
        <f>HYPERLINK("https://yt3.ggpht.com/ytc/AKedOLQngI-zjB3KZtPHce0fxmJohbsYBIYo5_APOQ=s88-c-k-c0x00ffffff-no-rj")</f>
        <v>https://yt3.ggpht.com/ytc/AKedOLQngI-zjB3KZtPHce0fxmJohbsYBIYo5_APOQ=s88-c-k-c0x00ffffff-no-rj</v>
      </c>
      <c r="AL61" s="80">
        <v>0</v>
      </c>
      <c r="AM61" s="80">
        <v>0</v>
      </c>
      <c r="AN61" s="80">
        <v>0</v>
      </c>
      <c r="AO61" s="80" t="b">
        <v>0</v>
      </c>
      <c r="AP61" s="80">
        <v>0</v>
      </c>
      <c r="AQ61" s="80"/>
      <c r="AR61" s="80"/>
      <c r="AS61" s="80" t="s">
        <v>1376</v>
      </c>
      <c r="AT61" s="85" t="str">
        <f>HYPERLINK("https://www.youtube.com/channel/UCXWqZlXgy_0lF0b_br8sk0A")</f>
        <v>https://www.youtube.com/channel/UCXWqZlXgy_0lF0b_br8sk0A</v>
      </c>
      <c r="AU61" s="80" t="str">
        <f>REPLACE(INDEX(GroupVertices[Group],MATCH(Vertices[[#This Row],[Vertex]],GroupVertices[Vertex],0)),1,1,"")</f>
        <v>8</v>
      </c>
      <c r="AV61" s="49">
        <v>0</v>
      </c>
      <c r="AW61" s="50">
        <v>0</v>
      </c>
      <c r="AX61" s="49">
        <v>0</v>
      </c>
      <c r="AY61" s="50">
        <v>0</v>
      </c>
      <c r="AZ61" s="49">
        <v>0</v>
      </c>
      <c r="BA61" s="50">
        <v>0</v>
      </c>
      <c r="BB61" s="49">
        <v>37</v>
      </c>
      <c r="BC61" s="50">
        <v>100</v>
      </c>
      <c r="BD61" s="49">
        <v>37</v>
      </c>
      <c r="BE61" s="49"/>
      <c r="BF61" s="49"/>
      <c r="BG61" s="49"/>
      <c r="BH61" s="49"/>
      <c r="BI61" s="49"/>
      <c r="BJ61" s="49"/>
      <c r="BK61" s="111" t="s">
        <v>2401</v>
      </c>
      <c r="BL61" s="111" t="s">
        <v>2401</v>
      </c>
      <c r="BM61" s="111" t="s">
        <v>2591</v>
      </c>
      <c r="BN61" s="111" t="s">
        <v>2591</v>
      </c>
      <c r="BO61" s="2"/>
      <c r="BP61" s="3"/>
      <c r="BQ61" s="3"/>
      <c r="BR61" s="3"/>
      <c r="BS61" s="3"/>
    </row>
    <row r="62" spans="1:71" ht="15">
      <c r="A62" s="65" t="s">
        <v>388</v>
      </c>
      <c r="B62" s="66"/>
      <c r="C62" s="66"/>
      <c r="D62" s="67">
        <v>150</v>
      </c>
      <c r="E62" s="69"/>
      <c r="F62" s="103" t="str">
        <f>HYPERLINK("https://yt3.ggpht.com/ytc/AKedOLRbf_1VzmUscNH1OAeWOAJsvs3V8MGki8NUUnQ7Kw=s88-c-k-c0x00ffffff-no-rj")</f>
        <v>https://yt3.ggpht.com/ytc/AKedOLRbf_1VzmUscNH1OAeWOAJsvs3V8MGki8NUUnQ7Kw=s88-c-k-c0x00ffffff-no-rj</v>
      </c>
      <c r="G62" s="66"/>
      <c r="H62" s="70" t="s">
        <v>901</v>
      </c>
      <c r="I62" s="71"/>
      <c r="J62" s="71" t="s">
        <v>159</v>
      </c>
      <c r="K62" s="70" t="s">
        <v>901</v>
      </c>
      <c r="L62" s="74">
        <v>1</v>
      </c>
      <c r="M62" s="75">
        <v>4658.96875</v>
      </c>
      <c r="N62" s="75">
        <v>4411.32373046875</v>
      </c>
      <c r="O62" s="76"/>
      <c r="P62" s="77"/>
      <c r="Q62" s="77"/>
      <c r="R62" s="89"/>
      <c r="S62" s="49">
        <v>2</v>
      </c>
      <c r="T62" s="49">
        <v>2</v>
      </c>
      <c r="U62" s="50">
        <v>0</v>
      </c>
      <c r="V62" s="50">
        <v>0.021366</v>
      </c>
      <c r="W62" s="50">
        <v>0</v>
      </c>
      <c r="X62" s="50">
        <v>0.004229</v>
      </c>
      <c r="Y62" s="50">
        <v>0.5</v>
      </c>
      <c r="Z62" s="50">
        <v>0</v>
      </c>
      <c r="AA62" s="72">
        <v>62</v>
      </c>
      <c r="AB62" s="72"/>
      <c r="AC62" s="73"/>
      <c r="AD62" s="80" t="s">
        <v>901</v>
      </c>
      <c r="AE62" s="80"/>
      <c r="AF62" s="80"/>
      <c r="AG62" s="80"/>
      <c r="AH62" s="80"/>
      <c r="AI62" s="80"/>
      <c r="AJ62" s="87">
        <v>40840.22765046296</v>
      </c>
      <c r="AK62" s="85" t="str">
        <f>HYPERLINK("https://yt3.ggpht.com/ytc/AKedOLRbf_1VzmUscNH1OAeWOAJsvs3V8MGki8NUUnQ7Kw=s88-c-k-c0x00ffffff-no-rj")</f>
        <v>https://yt3.ggpht.com/ytc/AKedOLRbf_1VzmUscNH1OAeWOAJsvs3V8MGki8NUUnQ7Kw=s88-c-k-c0x00ffffff-no-rj</v>
      </c>
      <c r="AL62" s="80">
        <v>0</v>
      </c>
      <c r="AM62" s="80">
        <v>0</v>
      </c>
      <c r="AN62" s="80">
        <v>0</v>
      </c>
      <c r="AO62" s="80" t="b">
        <v>0</v>
      </c>
      <c r="AP62" s="80">
        <v>1</v>
      </c>
      <c r="AQ62" s="80"/>
      <c r="AR62" s="80"/>
      <c r="AS62" s="80" t="s">
        <v>1376</v>
      </c>
      <c r="AT62" s="85" t="str">
        <f>HYPERLINK("https://www.youtube.com/channel/UCG6UKWK21O1SGwcuG4SaH0A")</f>
        <v>https://www.youtube.com/channel/UCG6UKWK21O1SGwcuG4SaH0A</v>
      </c>
      <c r="AU62" s="80" t="str">
        <f>REPLACE(INDEX(GroupVertices[Group],MATCH(Vertices[[#This Row],[Vertex]],GroupVertices[Vertex],0)),1,1,"")</f>
        <v>8</v>
      </c>
      <c r="AV62" s="49">
        <v>3</v>
      </c>
      <c r="AW62" s="50">
        <v>3.488372093023256</v>
      </c>
      <c r="AX62" s="49">
        <v>0</v>
      </c>
      <c r="AY62" s="50">
        <v>0</v>
      </c>
      <c r="AZ62" s="49">
        <v>0</v>
      </c>
      <c r="BA62" s="50">
        <v>0</v>
      </c>
      <c r="BB62" s="49">
        <v>83</v>
      </c>
      <c r="BC62" s="50">
        <v>96.51162790697674</v>
      </c>
      <c r="BD62" s="49">
        <v>86</v>
      </c>
      <c r="BE62" s="49"/>
      <c r="BF62" s="49"/>
      <c r="BG62" s="49"/>
      <c r="BH62" s="49"/>
      <c r="BI62" s="49"/>
      <c r="BJ62" s="49"/>
      <c r="BK62" s="111" t="s">
        <v>2402</v>
      </c>
      <c r="BL62" s="111" t="s">
        <v>2529</v>
      </c>
      <c r="BM62" s="111" t="s">
        <v>2592</v>
      </c>
      <c r="BN62" s="111" t="s">
        <v>2592</v>
      </c>
      <c r="BO62" s="2"/>
      <c r="BP62" s="3"/>
      <c r="BQ62" s="3"/>
      <c r="BR62" s="3"/>
      <c r="BS62" s="3"/>
    </row>
    <row r="63" spans="1:71" ht="15">
      <c r="A63" s="65" t="s">
        <v>389</v>
      </c>
      <c r="B63" s="66"/>
      <c r="C63" s="66"/>
      <c r="D63" s="67">
        <v>150</v>
      </c>
      <c r="E63" s="69"/>
      <c r="F63" s="103" t="str">
        <f>HYPERLINK("https://yt3.ggpht.com/ytc/AKedOLRAqM9MjkyUMojOmGBmxQfMQ1VSMhZ9Yi55GFBZIGI=s88-c-k-c0x00ffffff-no-rj")</f>
        <v>https://yt3.ggpht.com/ytc/AKedOLRAqM9MjkyUMojOmGBmxQfMQ1VSMhZ9Yi55GFBZIGI=s88-c-k-c0x00ffffff-no-rj</v>
      </c>
      <c r="G63" s="66"/>
      <c r="H63" s="70" t="s">
        <v>902</v>
      </c>
      <c r="I63" s="71"/>
      <c r="J63" s="71" t="s">
        <v>159</v>
      </c>
      <c r="K63" s="70" t="s">
        <v>902</v>
      </c>
      <c r="L63" s="74">
        <v>1</v>
      </c>
      <c r="M63" s="75">
        <v>3821.27392578125</v>
      </c>
      <c r="N63" s="75">
        <v>6115.93994140625</v>
      </c>
      <c r="O63" s="76"/>
      <c r="P63" s="77"/>
      <c r="Q63" s="77"/>
      <c r="R63" s="89"/>
      <c r="S63" s="49">
        <v>0</v>
      </c>
      <c r="T63" s="49">
        <v>1</v>
      </c>
      <c r="U63" s="50">
        <v>0</v>
      </c>
      <c r="V63" s="50">
        <v>0.020179</v>
      </c>
      <c r="W63" s="50">
        <v>0</v>
      </c>
      <c r="X63" s="50">
        <v>0.003899</v>
      </c>
      <c r="Y63" s="50">
        <v>0</v>
      </c>
      <c r="Z63" s="50">
        <v>0</v>
      </c>
      <c r="AA63" s="72">
        <v>63</v>
      </c>
      <c r="AB63" s="72"/>
      <c r="AC63" s="73"/>
      <c r="AD63" s="80" t="s">
        <v>902</v>
      </c>
      <c r="AE63" s="80"/>
      <c r="AF63" s="80"/>
      <c r="AG63" s="80"/>
      <c r="AH63" s="80"/>
      <c r="AI63" s="80"/>
      <c r="AJ63" s="87">
        <v>40816.62912037037</v>
      </c>
      <c r="AK63" s="85" t="str">
        <f>HYPERLINK("https://yt3.ggpht.com/ytc/AKedOLRAqM9MjkyUMojOmGBmxQfMQ1VSMhZ9Yi55GFBZIGI=s88-c-k-c0x00ffffff-no-rj")</f>
        <v>https://yt3.ggpht.com/ytc/AKedOLRAqM9MjkyUMojOmGBmxQfMQ1VSMhZ9Yi55GFBZIGI=s88-c-k-c0x00ffffff-no-rj</v>
      </c>
      <c r="AL63" s="80">
        <v>872</v>
      </c>
      <c r="AM63" s="80">
        <v>0</v>
      </c>
      <c r="AN63" s="80">
        <v>24</v>
      </c>
      <c r="AO63" s="80" t="b">
        <v>0</v>
      </c>
      <c r="AP63" s="80">
        <v>7</v>
      </c>
      <c r="AQ63" s="80"/>
      <c r="AR63" s="80"/>
      <c r="AS63" s="80" t="s">
        <v>1376</v>
      </c>
      <c r="AT63" s="85" t="str">
        <f>HYPERLINK("https://www.youtube.com/channel/UCfgG-ovLKqB8k2KnSbx32Lw")</f>
        <v>https://www.youtube.com/channel/UCfgG-ovLKqB8k2KnSbx32Lw</v>
      </c>
      <c r="AU63" s="80" t="str">
        <f>REPLACE(INDEX(GroupVertices[Group],MATCH(Vertices[[#This Row],[Vertex]],GroupVertices[Vertex],0)),1,1,"")</f>
        <v>8</v>
      </c>
      <c r="AV63" s="49">
        <v>0</v>
      </c>
      <c r="AW63" s="50">
        <v>0</v>
      </c>
      <c r="AX63" s="49">
        <v>0</v>
      </c>
      <c r="AY63" s="50">
        <v>0</v>
      </c>
      <c r="AZ63" s="49">
        <v>0</v>
      </c>
      <c r="BA63" s="50">
        <v>0</v>
      </c>
      <c r="BB63" s="49">
        <v>2</v>
      </c>
      <c r="BC63" s="50">
        <v>100</v>
      </c>
      <c r="BD63" s="49">
        <v>2</v>
      </c>
      <c r="BE63" s="49"/>
      <c r="BF63" s="49"/>
      <c r="BG63" s="49"/>
      <c r="BH63" s="49"/>
      <c r="BI63" s="49"/>
      <c r="BJ63" s="49"/>
      <c r="BK63" s="111" t="s">
        <v>2403</v>
      </c>
      <c r="BL63" s="111" t="s">
        <v>2403</v>
      </c>
      <c r="BM63" s="111" t="s">
        <v>2593</v>
      </c>
      <c r="BN63" s="111" t="s">
        <v>2593</v>
      </c>
      <c r="BO63" s="2"/>
      <c r="BP63" s="3"/>
      <c r="BQ63" s="3"/>
      <c r="BR63" s="3"/>
      <c r="BS63" s="3"/>
    </row>
    <row r="64" spans="1:71" ht="15">
      <c r="A64" s="65" t="s">
        <v>390</v>
      </c>
      <c r="B64" s="66"/>
      <c r="C64" s="66"/>
      <c r="D64" s="67">
        <v>150</v>
      </c>
      <c r="E64" s="69"/>
      <c r="F64" s="103" t="str">
        <f>HYPERLINK("https://yt3.ggpht.com/ytc/AKedOLQ_fqfS0kIz37ks_rJC4547QseqrwpSFwZgMA=s88-c-k-c0x00ffffff-no-rj")</f>
        <v>https://yt3.ggpht.com/ytc/AKedOLQ_fqfS0kIz37ks_rJC4547QseqrwpSFwZgMA=s88-c-k-c0x00ffffff-no-rj</v>
      </c>
      <c r="G64" s="66"/>
      <c r="H64" s="70" t="s">
        <v>903</v>
      </c>
      <c r="I64" s="71"/>
      <c r="J64" s="71" t="s">
        <v>159</v>
      </c>
      <c r="K64" s="70" t="s">
        <v>903</v>
      </c>
      <c r="L64" s="74">
        <v>1</v>
      </c>
      <c r="M64" s="75">
        <v>9712.404296875</v>
      </c>
      <c r="N64" s="75">
        <v>1426.327880859375</v>
      </c>
      <c r="O64" s="76"/>
      <c r="P64" s="77"/>
      <c r="Q64" s="77"/>
      <c r="R64" s="89"/>
      <c r="S64" s="49">
        <v>0</v>
      </c>
      <c r="T64" s="49">
        <v>1</v>
      </c>
      <c r="U64" s="50">
        <v>0</v>
      </c>
      <c r="V64" s="50">
        <v>0.004484</v>
      </c>
      <c r="W64" s="50">
        <v>0</v>
      </c>
      <c r="X64" s="50">
        <v>0.004153</v>
      </c>
      <c r="Y64" s="50">
        <v>0</v>
      </c>
      <c r="Z64" s="50">
        <v>0</v>
      </c>
      <c r="AA64" s="72">
        <v>64</v>
      </c>
      <c r="AB64" s="72"/>
      <c r="AC64" s="73"/>
      <c r="AD64" s="80" t="s">
        <v>903</v>
      </c>
      <c r="AE64" s="80"/>
      <c r="AF64" s="80"/>
      <c r="AG64" s="80"/>
      <c r="AH64" s="80"/>
      <c r="AI64" s="80"/>
      <c r="AJ64" s="87">
        <v>44278.74050925926</v>
      </c>
      <c r="AK64" s="85" t="str">
        <f>HYPERLINK("https://yt3.ggpht.com/ytc/AKedOLQ_fqfS0kIz37ks_rJC4547QseqrwpSFwZgMA=s88-c-k-c0x00ffffff-no-rj")</f>
        <v>https://yt3.ggpht.com/ytc/AKedOLQ_fqfS0kIz37ks_rJC4547QseqrwpSFwZgMA=s88-c-k-c0x00ffffff-no-rj</v>
      </c>
      <c r="AL64" s="80">
        <v>0</v>
      </c>
      <c r="AM64" s="80">
        <v>0</v>
      </c>
      <c r="AN64" s="80">
        <v>0</v>
      </c>
      <c r="AO64" s="80" t="b">
        <v>0</v>
      </c>
      <c r="AP64" s="80">
        <v>0</v>
      </c>
      <c r="AQ64" s="80"/>
      <c r="AR64" s="80"/>
      <c r="AS64" s="80" t="s">
        <v>1376</v>
      </c>
      <c r="AT64" s="85" t="str">
        <f>HYPERLINK("https://www.youtube.com/channel/UCqocO9ovci3JuSvsYKR36HA")</f>
        <v>https://www.youtube.com/channel/UCqocO9ovci3JuSvsYKR36HA</v>
      </c>
      <c r="AU64" s="80" t="str">
        <f>REPLACE(INDEX(GroupVertices[Group],MATCH(Vertices[[#This Row],[Vertex]],GroupVertices[Vertex],0)),1,1,"")</f>
        <v>20</v>
      </c>
      <c r="AV64" s="49">
        <v>0</v>
      </c>
      <c r="AW64" s="50">
        <v>0</v>
      </c>
      <c r="AX64" s="49">
        <v>2</v>
      </c>
      <c r="AY64" s="50">
        <v>8.695652173913043</v>
      </c>
      <c r="AZ64" s="49">
        <v>0</v>
      </c>
      <c r="BA64" s="50">
        <v>0</v>
      </c>
      <c r="BB64" s="49">
        <v>21</v>
      </c>
      <c r="BC64" s="50">
        <v>91.30434782608695</v>
      </c>
      <c r="BD64" s="49">
        <v>23</v>
      </c>
      <c r="BE64" s="49"/>
      <c r="BF64" s="49"/>
      <c r="BG64" s="49"/>
      <c r="BH64" s="49"/>
      <c r="BI64" s="49"/>
      <c r="BJ64" s="49"/>
      <c r="BK64" s="111" t="s">
        <v>2404</v>
      </c>
      <c r="BL64" s="111" t="s">
        <v>2404</v>
      </c>
      <c r="BM64" s="111" t="s">
        <v>2594</v>
      </c>
      <c r="BN64" s="111" t="s">
        <v>2594</v>
      </c>
      <c r="BO64" s="2"/>
      <c r="BP64" s="3"/>
      <c r="BQ64" s="3"/>
      <c r="BR64" s="3"/>
      <c r="BS64" s="3"/>
    </row>
    <row r="65" spans="1:71" ht="15">
      <c r="A65" s="65" t="s">
        <v>544</v>
      </c>
      <c r="B65" s="66"/>
      <c r="C65" s="66"/>
      <c r="D65" s="67">
        <v>150</v>
      </c>
      <c r="E65" s="69"/>
      <c r="F65" s="103" t="str">
        <f>HYPERLINK("https://yt3.ggpht.com/ytc/AKedOLTne7FDc1YzaJRVgGWhe9sXIjWRGt88lyg4cw=s88-c-k-c0x00ffffff-no-rj")</f>
        <v>https://yt3.ggpht.com/ytc/AKedOLTne7FDc1YzaJRVgGWhe9sXIjWRGt88lyg4cw=s88-c-k-c0x00ffffff-no-rj</v>
      </c>
      <c r="G65" s="66"/>
      <c r="H65" s="70" t="s">
        <v>1260</v>
      </c>
      <c r="I65" s="71"/>
      <c r="J65" s="71" t="s">
        <v>159</v>
      </c>
      <c r="K65" s="70" t="s">
        <v>1260</v>
      </c>
      <c r="L65" s="74">
        <v>1</v>
      </c>
      <c r="M65" s="75">
        <v>9712.404296875</v>
      </c>
      <c r="N65" s="75">
        <v>573.4720458984375</v>
      </c>
      <c r="O65" s="76"/>
      <c r="P65" s="77"/>
      <c r="Q65" s="77"/>
      <c r="R65" s="89"/>
      <c r="S65" s="49">
        <v>2</v>
      </c>
      <c r="T65" s="49">
        <v>1</v>
      </c>
      <c r="U65" s="50">
        <v>0</v>
      </c>
      <c r="V65" s="50">
        <v>0.004484</v>
      </c>
      <c r="W65" s="50">
        <v>0</v>
      </c>
      <c r="X65" s="50">
        <v>0.004776</v>
      </c>
      <c r="Y65" s="50">
        <v>0</v>
      </c>
      <c r="Z65" s="50">
        <v>0</v>
      </c>
      <c r="AA65" s="72">
        <v>65</v>
      </c>
      <c r="AB65" s="72"/>
      <c r="AC65" s="73"/>
      <c r="AD65" s="80" t="s">
        <v>1260</v>
      </c>
      <c r="AE65" s="80"/>
      <c r="AF65" s="80"/>
      <c r="AG65" s="80"/>
      <c r="AH65" s="80"/>
      <c r="AI65" s="80"/>
      <c r="AJ65" s="87">
        <v>43981.59480324074</v>
      </c>
      <c r="AK65" s="85" t="str">
        <f>HYPERLINK("https://yt3.ggpht.com/ytc/AKedOLTne7FDc1YzaJRVgGWhe9sXIjWRGt88lyg4cw=s88-c-k-c0x00ffffff-no-rj")</f>
        <v>https://yt3.ggpht.com/ytc/AKedOLTne7FDc1YzaJRVgGWhe9sXIjWRGt88lyg4cw=s88-c-k-c0x00ffffff-no-rj</v>
      </c>
      <c r="AL65" s="80">
        <v>526</v>
      </c>
      <c r="AM65" s="80">
        <v>0</v>
      </c>
      <c r="AN65" s="80">
        <v>6</v>
      </c>
      <c r="AO65" s="80" t="b">
        <v>0</v>
      </c>
      <c r="AP65" s="80">
        <v>33</v>
      </c>
      <c r="AQ65" s="80"/>
      <c r="AR65" s="80"/>
      <c r="AS65" s="80" t="s">
        <v>1376</v>
      </c>
      <c r="AT65" s="85" t="str">
        <f>HYPERLINK("https://www.youtube.com/channel/UCAsUVwqROYclu1B2tk74kwg")</f>
        <v>https://www.youtube.com/channel/UCAsUVwqROYclu1B2tk74kwg</v>
      </c>
      <c r="AU65" s="80" t="str">
        <f>REPLACE(INDEX(GroupVertices[Group],MATCH(Vertices[[#This Row],[Vertex]],GroupVertices[Vertex],0)),1,1,"")</f>
        <v>20</v>
      </c>
      <c r="AV65" s="49"/>
      <c r="AW65" s="50"/>
      <c r="AX65" s="49"/>
      <c r="AY65" s="50"/>
      <c r="AZ65" s="49"/>
      <c r="BA65" s="50"/>
      <c r="BB65" s="49"/>
      <c r="BC65" s="50"/>
      <c r="BD65" s="49"/>
      <c r="BE65" s="49"/>
      <c r="BF65" s="49"/>
      <c r="BG65" s="49"/>
      <c r="BH65" s="49"/>
      <c r="BI65" s="49"/>
      <c r="BJ65" s="49"/>
      <c r="BK65" s="111" t="s">
        <v>1239</v>
      </c>
      <c r="BL65" s="111" t="s">
        <v>1239</v>
      </c>
      <c r="BM65" s="111" t="s">
        <v>1239</v>
      </c>
      <c r="BN65" s="111" t="s">
        <v>1239</v>
      </c>
      <c r="BO65" s="2"/>
      <c r="BP65" s="3"/>
      <c r="BQ65" s="3"/>
      <c r="BR65" s="3"/>
      <c r="BS65" s="3"/>
    </row>
    <row r="66" spans="1:71" ht="15">
      <c r="A66" s="65" t="s">
        <v>391</v>
      </c>
      <c r="B66" s="66"/>
      <c r="C66" s="66"/>
      <c r="D66" s="67">
        <v>150</v>
      </c>
      <c r="E66" s="69"/>
      <c r="F66" s="103" t="str">
        <f>HYPERLINK("https://yt3.ggpht.com/ytc/AKedOLQtCTszJ2piuYYZk_aXkxnCDKyloKvi_u4KDSE6RJE=s88-c-k-c0x00ffffff-no-rj")</f>
        <v>https://yt3.ggpht.com/ytc/AKedOLQtCTszJ2piuYYZk_aXkxnCDKyloKvi_u4KDSE6RJE=s88-c-k-c0x00ffffff-no-rj</v>
      </c>
      <c r="G66" s="66"/>
      <c r="H66" s="70" t="s">
        <v>904</v>
      </c>
      <c r="I66" s="71"/>
      <c r="J66" s="71" t="s">
        <v>159</v>
      </c>
      <c r="K66" s="70" t="s">
        <v>904</v>
      </c>
      <c r="L66" s="74">
        <v>1</v>
      </c>
      <c r="M66" s="75">
        <v>7260.42041015625</v>
      </c>
      <c r="N66" s="75">
        <v>2842.85302734375</v>
      </c>
      <c r="O66" s="76"/>
      <c r="P66" s="77"/>
      <c r="Q66" s="77"/>
      <c r="R66" s="89"/>
      <c r="S66" s="49">
        <v>0</v>
      </c>
      <c r="T66" s="49">
        <v>1</v>
      </c>
      <c r="U66" s="50">
        <v>0</v>
      </c>
      <c r="V66" s="50">
        <v>0.005979</v>
      </c>
      <c r="W66" s="50">
        <v>0</v>
      </c>
      <c r="X66" s="50">
        <v>0.004058</v>
      </c>
      <c r="Y66" s="50">
        <v>0</v>
      </c>
      <c r="Z66" s="50">
        <v>0</v>
      </c>
      <c r="AA66" s="72">
        <v>66</v>
      </c>
      <c r="AB66" s="72"/>
      <c r="AC66" s="73"/>
      <c r="AD66" s="80" t="s">
        <v>904</v>
      </c>
      <c r="AE66" s="80"/>
      <c r="AF66" s="80"/>
      <c r="AG66" s="80"/>
      <c r="AH66" s="80"/>
      <c r="AI66" s="80" t="s">
        <v>1353</v>
      </c>
      <c r="AJ66" s="87">
        <v>40400.580462962964</v>
      </c>
      <c r="AK66" s="85" t="str">
        <f>HYPERLINK("https://yt3.ggpht.com/ytc/AKedOLQtCTszJ2piuYYZk_aXkxnCDKyloKvi_u4KDSE6RJE=s88-c-k-c0x00ffffff-no-rj")</f>
        <v>https://yt3.ggpht.com/ytc/AKedOLQtCTszJ2piuYYZk_aXkxnCDKyloKvi_u4KDSE6RJE=s88-c-k-c0x00ffffff-no-rj</v>
      </c>
      <c r="AL66" s="80">
        <v>188</v>
      </c>
      <c r="AM66" s="80">
        <v>0</v>
      </c>
      <c r="AN66" s="80">
        <v>1</v>
      </c>
      <c r="AO66" s="80" t="b">
        <v>0</v>
      </c>
      <c r="AP66" s="80">
        <v>2</v>
      </c>
      <c r="AQ66" s="80"/>
      <c r="AR66" s="80"/>
      <c r="AS66" s="80" t="s">
        <v>1376</v>
      </c>
      <c r="AT66" s="85" t="str">
        <f>HYPERLINK("https://www.youtube.com/channel/UCF7K5uOzm-xqTb96lpNt_Ow")</f>
        <v>https://www.youtube.com/channel/UCF7K5uOzm-xqTb96lpNt_Ow</v>
      </c>
      <c r="AU66" s="80" t="str">
        <f>REPLACE(INDEX(GroupVertices[Group],MATCH(Vertices[[#This Row],[Vertex]],GroupVertices[Vertex],0)),1,1,"")</f>
        <v>16</v>
      </c>
      <c r="AV66" s="49">
        <v>0</v>
      </c>
      <c r="AW66" s="50">
        <v>0</v>
      </c>
      <c r="AX66" s="49">
        <v>0</v>
      </c>
      <c r="AY66" s="50">
        <v>0</v>
      </c>
      <c r="AZ66" s="49">
        <v>0</v>
      </c>
      <c r="BA66" s="50">
        <v>0</v>
      </c>
      <c r="BB66" s="49">
        <v>17</v>
      </c>
      <c r="BC66" s="50">
        <v>100</v>
      </c>
      <c r="BD66" s="49">
        <v>17</v>
      </c>
      <c r="BE66" s="49"/>
      <c r="BF66" s="49"/>
      <c r="BG66" s="49"/>
      <c r="BH66" s="49"/>
      <c r="BI66" s="49"/>
      <c r="BJ66" s="49"/>
      <c r="BK66" s="111" t="s">
        <v>2405</v>
      </c>
      <c r="BL66" s="111" t="s">
        <v>2405</v>
      </c>
      <c r="BM66" s="111" t="s">
        <v>2595</v>
      </c>
      <c r="BN66" s="111" t="s">
        <v>2595</v>
      </c>
      <c r="BO66" s="2"/>
      <c r="BP66" s="3"/>
      <c r="BQ66" s="3"/>
      <c r="BR66" s="3"/>
      <c r="BS66" s="3"/>
    </row>
    <row r="67" spans="1:71" ht="15">
      <c r="A67" s="65" t="s">
        <v>546</v>
      </c>
      <c r="B67" s="66"/>
      <c r="C67" s="66"/>
      <c r="D67" s="67">
        <v>151.62835249042146</v>
      </c>
      <c r="E67" s="69"/>
      <c r="F67" s="103" t="str">
        <f>HYPERLINK("https://yt3.ggpht.com/ytc/AKedOLQDTf95gNBGbmSrs0I54WEsOqOw9oddIblPuQnj1w=s88-c-k-c0x00ffffff-no-rj")</f>
        <v>https://yt3.ggpht.com/ytc/AKedOLQDTf95gNBGbmSrs0I54WEsOqOw9oddIblPuQnj1w=s88-c-k-c0x00ffffff-no-rj</v>
      </c>
      <c r="G67" s="66"/>
      <c r="H67" s="70" t="s">
        <v>1261</v>
      </c>
      <c r="I67" s="71"/>
      <c r="J67" s="71" t="s">
        <v>75</v>
      </c>
      <c r="K67" s="70" t="s">
        <v>1261</v>
      </c>
      <c r="L67" s="74">
        <v>2.4422792570429217</v>
      </c>
      <c r="M67" s="75">
        <v>7260.42041015625</v>
      </c>
      <c r="N67" s="75">
        <v>1921.3768310546875</v>
      </c>
      <c r="O67" s="76"/>
      <c r="P67" s="77"/>
      <c r="Q67" s="77"/>
      <c r="R67" s="89"/>
      <c r="S67" s="49">
        <v>3</v>
      </c>
      <c r="T67" s="49">
        <v>1</v>
      </c>
      <c r="U67" s="50">
        <v>2</v>
      </c>
      <c r="V67" s="50">
        <v>0.008969</v>
      </c>
      <c r="W67" s="50">
        <v>0</v>
      </c>
      <c r="X67" s="50">
        <v>0.005276</v>
      </c>
      <c r="Y67" s="50">
        <v>0</v>
      </c>
      <c r="Z67" s="50">
        <v>0</v>
      </c>
      <c r="AA67" s="72">
        <v>67</v>
      </c>
      <c r="AB67" s="72"/>
      <c r="AC67" s="73"/>
      <c r="AD67" s="80" t="s">
        <v>1261</v>
      </c>
      <c r="AE67" s="80" t="s">
        <v>1306</v>
      </c>
      <c r="AF67" s="80"/>
      <c r="AG67" s="80"/>
      <c r="AH67" s="80"/>
      <c r="AI67" s="80" t="s">
        <v>1354</v>
      </c>
      <c r="AJ67" s="87">
        <v>39070.86752314815</v>
      </c>
      <c r="AK67" s="85" t="str">
        <f>HYPERLINK("https://yt3.ggpht.com/ytc/AKedOLQDTf95gNBGbmSrs0I54WEsOqOw9oddIblPuQnj1w=s88-c-k-c0x00ffffff-no-rj")</f>
        <v>https://yt3.ggpht.com/ytc/AKedOLQDTf95gNBGbmSrs0I54WEsOqOw9oddIblPuQnj1w=s88-c-k-c0x00ffffff-no-rj</v>
      </c>
      <c r="AL67" s="80">
        <v>259175291</v>
      </c>
      <c r="AM67" s="80">
        <v>0</v>
      </c>
      <c r="AN67" s="80">
        <v>1750000</v>
      </c>
      <c r="AO67" s="80" t="b">
        <v>0</v>
      </c>
      <c r="AP67" s="80">
        <v>5258</v>
      </c>
      <c r="AQ67" s="80"/>
      <c r="AR67" s="80"/>
      <c r="AS67" s="80" t="s">
        <v>1376</v>
      </c>
      <c r="AT67" s="85" t="str">
        <f>HYPERLINK("https://www.youtube.com/channel/UCbmNph6atAoGfqLoCL_duAg")</f>
        <v>https://www.youtube.com/channel/UCbmNph6atAoGfqLoCL_duAg</v>
      </c>
      <c r="AU67" s="80" t="str">
        <f>REPLACE(INDEX(GroupVertices[Group],MATCH(Vertices[[#This Row],[Vertex]],GroupVertices[Vertex],0)),1,1,"")</f>
        <v>16</v>
      </c>
      <c r="AV67" s="49"/>
      <c r="AW67" s="50"/>
      <c r="AX67" s="49"/>
      <c r="AY67" s="50"/>
      <c r="AZ67" s="49"/>
      <c r="BA67" s="50"/>
      <c r="BB67" s="49"/>
      <c r="BC67" s="50"/>
      <c r="BD67" s="49"/>
      <c r="BE67" s="49"/>
      <c r="BF67" s="49"/>
      <c r="BG67" s="49"/>
      <c r="BH67" s="49"/>
      <c r="BI67" s="49"/>
      <c r="BJ67" s="49"/>
      <c r="BK67" s="111" t="s">
        <v>1239</v>
      </c>
      <c r="BL67" s="111" t="s">
        <v>1239</v>
      </c>
      <c r="BM67" s="111" t="s">
        <v>1239</v>
      </c>
      <c r="BN67" s="111" t="s">
        <v>1239</v>
      </c>
      <c r="BO67" s="2"/>
      <c r="BP67" s="3"/>
      <c r="BQ67" s="3"/>
      <c r="BR67" s="3"/>
      <c r="BS67" s="3"/>
    </row>
    <row r="68" spans="1:71" ht="15">
      <c r="A68" s="65" t="s">
        <v>392</v>
      </c>
      <c r="B68" s="66"/>
      <c r="C68" s="66"/>
      <c r="D68" s="67">
        <v>150</v>
      </c>
      <c r="E68" s="69"/>
      <c r="F68" s="103" t="str">
        <f>HYPERLINK("https://yt3.ggpht.com/ytc/AKedOLRV4TqwPqsW38853oEgd9UItYc0k4WNT2ZrNGZbSA=s88-c-k-c0x00ffffff-no-rj")</f>
        <v>https://yt3.ggpht.com/ytc/AKedOLRV4TqwPqsW38853oEgd9UItYc0k4WNT2ZrNGZbSA=s88-c-k-c0x00ffffff-no-rj</v>
      </c>
      <c r="G68" s="66"/>
      <c r="H68" s="70" t="s">
        <v>905</v>
      </c>
      <c r="I68" s="71"/>
      <c r="J68" s="71" t="s">
        <v>159</v>
      </c>
      <c r="K68" s="70" t="s">
        <v>905</v>
      </c>
      <c r="L68" s="74">
        <v>1</v>
      </c>
      <c r="M68" s="75">
        <v>7260.42041015625</v>
      </c>
      <c r="N68" s="75">
        <v>2382.11474609375</v>
      </c>
      <c r="O68" s="76"/>
      <c r="P68" s="77"/>
      <c r="Q68" s="77"/>
      <c r="R68" s="89"/>
      <c r="S68" s="49">
        <v>0</v>
      </c>
      <c r="T68" s="49">
        <v>1</v>
      </c>
      <c r="U68" s="50">
        <v>0</v>
      </c>
      <c r="V68" s="50">
        <v>0.005979</v>
      </c>
      <c r="W68" s="50">
        <v>0</v>
      </c>
      <c r="X68" s="50">
        <v>0.004058</v>
      </c>
      <c r="Y68" s="50">
        <v>0</v>
      </c>
      <c r="Z68" s="50">
        <v>0</v>
      </c>
      <c r="AA68" s="72">
        <v>68</v>
      </c>
      <c r="AB68" s="72"/>
      <c r="AC68" s="73"/>
      <c r="AD68" s="80" t="s">
        <v>905</v>
      </c>
      <c r="AE68" s="80" t="s">
        <v>1307</v>
      </c>
      <c r="AF68" s="80"/>
      <c r="AG68" s="80"/>
      <c r="AH68" s="80"/>
      <c r="AI68" s="80"/>
      <c r="AJ68" s="87">
        <v>39199.09527777778</v>
      </c>
      <c r="AK68" s="85" t="str">
        <f>HYPERLINK("https://yt3.ggpht.com/ytc/AKedOLRV4TqwPqsW38853oEgd9UItYc0k4WNT2ZrNGZbSA=s88-c-k-c0x00ffffff-no-rj")</f>
        <v>https://yt3.ggpht.com/ytc/AKedOLRV4TqwPqsW38853oEgd9UItYc0k4WNT2ZrNGZbSA=s88-c-k-c0x00ffffff-no-rj</v>
      </c>
      <c r="AL68" s="80">
        <v>90242</v>
      </c>
      <c r="AM68" s="80">
        <v>0</v>
      </c>
      <c r="AN68" s="80">
        <v>24</v>
      </c>
      <c r="AO68" s="80" t="b">
        <v>0</v>
      </c>
      <c r="AP68" s="80">
        <v>8</v>
      </c>
      <c r="AQ68" s="80"/>
      <c r="AR68" s="80"/>
      <c r="AS68" s="80" t="s">
        <v>1376</v>
      </c>
      <c r="AT68" s="85" t="str">
        <f>HYPERLINK("https://www.youtube.com/channel/UCXQR00oQ3fj5cTotWvRg0_Q")</f>
        <v>https://www.youtube.com/channel/UCXQR00oQ3fj5cTotWvRg0_Q</v>
      </c>
      <c r="AU68" s="80" t="str">
        <f>REPLACE(INDEX(GroupVertices[Group],MATCH(Vertices[[#This Row],[Vertex]],GroupVertices[Vertex],0)),1,1,"")</f>
        <v>16</v>
      </c>
      <c r="AV68" s="49">
        <v>0</v>
      </c>
      <c r="AW68" s="50">
        <v>0</v>
      </c>
      <c r="AX68" s="49">
        <v>0</v>
      </c>
      <c r="AY68" s="50">
        <v>0</v>
      </c>
      <c r="AZ68" s="49">
        <v>0</v>
      </c>
      <c r="BA68" s="50">
        <v>0</v>
      </c>
      <c r="BB68" s="49">
        <v>7</v>
      </c>
      <c r="BC68" s="50">
        <v>100</v>
      </c>
      <c r="BD68" s="49">
        <v>7</v>
      </c>
      <c r="BE68" s="49"/>
      <c r="BF68" s="49"/>
      <c r="BG68" s="49"/>
      <c r="BH68" s="49"/>
      <c r="BI68" s="49"/>
      <c r="BJ68" s="49"/>
      <c r="BK68" s="111" t="s">
        <v>2406</v>
      </c>
      <c r="BL68" s="111" t="s">
        <v>2406</v>
      </c>
      <c r="BM68" s="111" t="s">
        <v>2596</v>
      </c>
      <c r="BN68" s="111" t="s">
        <v>2596</v>
      </c>
      <c r="BO68" s="2"/>
      <c r="BP68" s="3"/>
      <c r="BQ68" s="3"/>
      <c r="BR68" s="3"/>
      <c r="BS68" s="3"/>
    </row>
    <row r="69" spans="1:71" ht="15">
      <c r="A69" s="65" t="s">
        <v>393</v>
      </c>
      <c r="B69" s="66"/>
      <c r="C69" s="66"/>
      <c r="D69" s="67">
        <v>150</v>
      </c>
      <c r="E69" s="69"/>
      <c r="F69" s="103" t="str">
        <f>HYPERLINK("https://yt3.ggpht.com/ytc/AKedOLRLmonWCAa8vtv9Bbpsz8VBqrQp1InumUrWIXbYRg=s88-c-k-c0x00ffffff-no-rj")</f>
        <v>https://yt3.ggpht.com/ytc/AKedOLRLmonWCAa8vtv9Bbpsz8VBqrQp1InumUrWIXbYRg=s88-c-k-c0x00ffffff-no-rj</v>
      </c>
      <c r="G69" s="66"/>
      <c r="H69" s="70" t="s">
        <v>906</v>
      </c>
      <c r="I69" s="71"/>
      <c r="J69" s="71" t="s">
        <v>159</v>
      </c>
      <c r="K69" s="70" t="s">
        <v>906</v>
      </c>
      <c r="L69" s="74">
        <v>1</v>
      </c>
      <c r="M69" s="75">
        <v>9590.3359375</v>
      </c>
      <c r="N69" s="75">
        <v>2804.866455078125</v>
      </c>
      <c r="O69" s="76"/>
      <c r="P69" s="77"/>
      <c r="Q69" s="77"/>
      <c r="R69" s="89"/>
      <c r="S69" s="49">
        <v>0</v>
      </c>
      <c r="T69" s="49">
        <v>1</v>
      </c>
      <c r="U69" s="50">
        <v>0</v>
      </c>
      <c r="V69" s="50">
        <v>0.004484</v>
      </c>
      <c r="W69" s="50">
        <v>0</v>
      </c>
      <c r="X69" s="50">
        <v>0.004153</v>
      </c>
      <c r="Y69" s="50">
        <v>0</v>
      </c>
      <c r="Z69" s="50">
        <v>0</v>
      </c>
      <c r="AA69" s="72">
        <v>69</v>
      </c>
      <c r="AB69" s="72"/>
      <c r="AC69" s="73"/>
      <c r="AD69" s="80" t="s">
        <v>906</v>
      </c>
      <c r="AE69" s="80"/>
      <c r="AF69" s="80"/>
      <c r="AG69" s="80"/>
      <c r="AH69" s="80"/>
      <c r="AI69" s="80"/>
      <c r="AJ69" s="87">
        <v>41655.84653935185</v>
      </c>
      <c r="AK69" s="85" t="str">
        <f>HYPERLINK("https://yt3.ggpht.com/ytc/AKedOLRLmonWCAa8vtv9Bbpsz8VBqrQp1InumUrWIXbYRg=s88-c-k-c0x00ffffff-no-rj")</f>
        <v>https://yt3.ggpht.com/ytc/AKedOLRLmonWCAa8vtv9Bbpsz8VBqrQp1InumUrWIXbYRg=s88-c-k-c0x00ffffff-no-rj</v>
      </c>
      <c r="AL69" s="80">
        <v>2109</v>
      </c>
      <c r="AM69" s="80">
        <v>0</v>
      </c>
      <c r="AN69" s="80">
        <v>15</v>
      </c>
      <c r="AO69" s="80" t="b">
        <v>0</v>
      </c>
      <c r="AP69" s="80">
        <v>17</v>
      </c>
      <c r="AQ69" s="80"/>
      <c r="AR69" s="80"/>
      <c r="AS69" s="80" t="s">
        <v>1376</v>
      </c>
      <c r="AT69" s="85" t="str">
        <f>HYPERLINK("https://www.youtube.com/channel/UCLwDXsPUfsO2ZTptCsSyXGg")</f>
        <v>https://www.youtube.com/channel/UCLwDXsPUfsO2ZTptCsSyXGg</v>
      </c>
      <c r="AU69" s="80" t="str">
        <f>REPLACE(INDEX(GroupVertices[Group],MATCH(Vertices[[#This Row],[Vertex]],GroupVertices[Vertex],0)),1,1,"")</f>
        <v>19</v>
      </c>
      <c r="AV69" s="49">
        <v>1</v>
      </c>
      <c r="AW69" s="50">
        <v>25</v>
      </c>
      <c r="AX69" s="49">
        <v>0</v>
      </c>
      <c r="AY69" s="50">
        <v>0</v>
      </c>
      <c r="AZ69" s="49">
        <v>0</v>
      </c>
      <c r="BA69" s="50">
        <v>0</v>
      </c>
      <c r="BB69" s="49">
        <v>3</v>
      </c>
      <c r="BC69" s="50">
        <v>75</v>
      </c>
      <c r="BD69" s="49">
        <v>4</v>
      </c>
      <c r="BE69" s="49"/>
      <c r="BF69" s="49"/>
      <c r="BG69" s="49"/>
      <c r="BH69" s="49"/>
      <c r="BI69" s="49"/>
      <c r="BJ69" s="49"/>
      <c r="BK69" s="111" t="s">
        <v>2407</v>
      </c>
      <c r="BL69" s="111" t="s">
        <v>2407</v>
      </c>
      <c r="BM69" s="111" t="s">
        <v>2597</v>
      </c>
      <c r="BN69" s="111" t="s">
        <v>2597</v>
      </c>
      <c r="BO69" s="2"/>
      <c r="BP69" s="3"/>
      <c r="BQ69" s="3"/>
      <c r="BR69" s="3"/>
      <c r="BS69" s="3"/>
    </row>
    <row r="70" spans="1:71" ht="15">
      <c r="A70" s="65" t="s">
        <v>548</v>
      </c>
      <c r="B70" s="66"/>
      <c r="C70" s="66"/>
      <c r="D70" s="67">
        <v>150</v>
      </c>
      <c r="E70" s="69"/>
      <c r="F70" s="103" t="str">
        <f>HYPERLINK("https://yt3.ggpht.com/ytc/AKedOLTtIKykJDZCgw_RLamw5coaeRfUjxB_ZXawlw=s88-c-k-c0x00ffffff-no-rj")</f>
        <v>https://yt3.ggpht.com/ytc/AKedOLTtIKykJDZCgw_RLamw5coaeRfUjxB_ZXawlw=s88-c-k-c0x00ffffff-no-rj</v>
      </c>
      <c r="G70" s="66"/>
      <c r="H70" s="70" t="s">
        <v>1262</v>
      </c>
      <c r="I70" s="71"/>
      <c r="J70" s="71" t="s">
        <v>159</v>
      </c>
      <c r="K70" s="70" t="s">
        <v>1262</v>
      </c>
      <c r="L70" s="74">
        <v>1</v>
      </c>
      <c r="M70" s="75">
        <v>9590.3359375</v>
      </c>
      <c r="N70" s="75">
        <v>2268.155517578125</v>
      </c>
      <c r="O70" s="76"/>
      <c r="P70" s="77"/>
      <c r="Q70" s="77"/>
      <c r="R70" s="89"/>
      <c r="S70" s="49">
        <v>2</v>
      </c>
      <c r="T70" s="49">
        <v>1</v>
      </c>
      <c r="U70" s="50">
        <v>0</v>
      </c>
      <c r="V70" s="50">
        <v>0.004484</v>
      </c>
      <c r="W70" s="50">
        <v>0</v>
      </c>
      <c r="X70" s="50">
        <v>0.004776</v>
      </c>
      <c r="Y70" s="50">
        <v>0</v>
      </c>
      <c r="Z70" s="50">
        <v>0</v>
      </c>
      <c r="AA70" s="72">
        <v>70</v>
      </c>
      <c r="AB70" s="72"/>
      <c r="AC70" s="73"/>
      <c r="AD70" s="80" t="s">
        <v>1262</v>
      </c>
      <c r="AE70" s="80"/>
      <c r="AF70" s="80"/>
      <c r="AG70" s="80"/>
      <c r="AH70" s="80"/>
      <c r="AI70" s="80"/>
      <c r="AJ70" s="87">
        <v>40975.86454861111</v>
      </c>
      <c r="AK70" s="85" t="str">
        <f>HYPERLINK("https://yt3.ggpht.com/ytc/AKedOLTtIKykJDZCgw_RLamw5coaeRfUjxB_ZXawlw=s88-c-k-c0x00ffffff-no-rj")</f>
        <v>https://yt3.ggpht.com/ytc/AKedOLTtIKykJDZCgw_RLamw5coaeRfUjxB_ZXawlw=s88-c-k-c0x00ffffff-no-rj</v>
      </c>
      <c r="AL70" s="80">
        <v>1217</v>
      </c>
      <c r="AM70" s="80">
        <v>0</v>
      </c>
      <c r="AN70" s="80">
        <v>6</v>
      </c>
      <c r="AO70" s="80" t="b">
        <v>0</v>
      </c>
      <c r="AP70" s="80">
        <v>4</v>
      </c>
      <c r="AQ70" s="80"/>
      <c r="AR70" s="80"/>
      <c r="AS70" s="80" t="s">
        <v>1376</v>
      </c>
      <c r="AT70" s="85" t="str">
        <f>HYPERLINK("https://www.youtube.com/channel/UCVRsFyifrTrADDHncqwLghg")</f>
        <v>https://www.youtube.com/channel/UCVRsFyifrTrADDHncqwLghg</v>
      </c>
      <c r="AU70" s="80" t="str">
        <f>REPLACE(INDEX(GroupVertices[Group],MATCH(Vertices[[#This Row],[Vertex]],GroupVertices[Vertex],0)),1,1,"")</f>
        <v>19</v>
      </c>
      <c r="AV70" s="49"/>
      <c r="AW70" s="50"/>
      <c r="AX70" s="49"/>
      <c r="AY70" s="50"/>
      <c r="AZ70" s="49"/>
      <c r="BA70" s="50"/>
      <c r="BB70" s="49"/>
      <c r="BC70" s="50"/>
      <c r="BD70" s="49"/>
      <c r="BE70" s="49"/>
      <c r="BF70" s="49"/>
      <c r="BG70" s="49"/>
      <c r="BH70" s="49"/>
      <c r="BI70" s="49"/>
      <c r="BJ70" s="49"/>
      <c r="BK70" s="111" t="s">
        <v>1239</v>
      </c>
      <c r="BL70" s="111" t="s">
        <v>1239</v>
      </c>
      <c r="BM70" s="111" t="s">
        <v>1239</v>
      </c>
      <c r="BN70" s="111" t="s">
        <v>1239</v>
      </c>
      <c r="BO70" s="2"/>
      <c r="BP70" s="3"/>
      <c r="BQ70" s="3"/>
      <c r="BR70" s="3"/>
      <c r="BS70" s="3"/>
    </row>
    <row r="71" spans="1:71" ht="15">
      <c r="A71" s="65" t="s">
        <v>394</v>
      </c>
      <c r="B71" s="66"/>
      <c r="C71" s="66"/>
      <c r="D71" s="67">
        <v>150</v>
      </c>
      <c r="E71" s="69"/>
      <c r="F71" s="103" t="str">
        <f>HYPERLINK("https://yt3.ggpht.com/ytc/AKedOLSBu64VUsOrMZUiwU3Zpmt3eTGfFChWHGN-xxcYSw=s88-c-k-c0x00ffffff-no-rj")</f>
        <v>https://yt3.ggpht.com/ytc/AKedOLSBu64VUsOrMZUiwU3Zpmt3eTGfFChWHGN-xxcYSw=s88-c-k-c0x00ffffff-no-rj</v>
      </c>
      <c r="G71" s="66"/>
      <c r="H71" s="70" t="s">
        <v>907</v>
      </c>
      <c r="I71" s="71"/>
      <c r="J71" s="71" t="s">
        <v>159</v>
      </c>
      <c r="K71" s="70" t="s">
        <v>907</v>
      </c>
      <c r="L71" s="74">
        <v>1</v>
      </c>
      <c r="M71" s="75">
        <v>2836.524169921875</v>
      </c>
      <c r="N71" s="75">
        <v>7909.22412109375</v>
      </c>
      <c r="O71" s="76"/>
      <c r="P71" s="77"/>
      <c r="Q71" s="77"/>
      <c r="R71" s="89"/>
      <c r="S71" s="49">
        <v>0</v>
      </c>
      <c r="T71" s="49">
        <v>1</v>
      </c>
      <c r="U71" s="50">
        <v>0</v>
      </c>
      <c r="V71" s="50">
        <v>0.189881</v>
      </c>
      <c r="W71" s="50">
        <v>0.080745</v>
      </c>
      <c r="X71" s="50">
        <v>0.003874</v>
      </c>
      <c r="Y71" s="50">
        <v>0</v>
      </c>
      <c r="Z71" s="50">
        <v>0</v>
      </c>
      <c r="AA71" s="72">
        <v>71</v>
      </c>
      <c r="AB71" s="72"/>
      <c r="AC71" s="73"/>
      <c r="AD71" s="80" t="s">
        <v>907</v>
      </c>
      <c r="AE71" s="80"/>
      <c r="AF71" s="80"/>
      <c r="AG71" s="80"/>
      <c r="AH71" s="80"/>
      <c r="AI71" s="80"/>
      <c r="AJ71" s="87">
        <v>40787.52831018518</v>
      </c>
      <c r="AK71" s="85" t="str">
        <f>HYPERLINK("https://yt3.ggpht.com/ytc/AKedOLSBu64VUsOrMZUiwU3Zpmt3eTGfFChWHGN-xxcYSw=s88-c-k-c0x00ffffff-no-rj")</f>
        <v>https://yt3.ggpht.com/ytc/AKedOLSBu64VUsOrMZUiwU3Zpmt3eTGfFChWHGN-xxcYSw=s88-c-k-c0x00ffffff-no-rj</v>
      </c>
      <c r="AL71" s="80">
        <v>1618</v>
      </c>
      <c r="AM71" s="80">
        <v>0</v>
      </c>
      <c r="AN71" s="80">
        <v>14</v>
      </c>
      <c r="AO71" s="80" t="b">
        <v>0</v>
      </c>
      <c r="AP71" s="80">
        <v>14</v>
      </c>
      <c r="AQ71" s="80"/>
      <c r="AR71" s="80"/>
      <c r="AS71" s="80" t="s">
        <v>1376</v>
      </c>
      <c r="AT71" s="85" t="str">
        <f>HYPERLINK("https://www.youtube.com/channel/UCpQ5U05w9q913jvPV-T8rlw")</f>
        <v>https://www.youtube.com/channel/UCpQ5U05w9q913jvPV-T8rlw</v>
      </c>
      <c r="AU71" s="80" t="str">
        <f>REPLACE(INDEX(GroupVertices[Group],MATCH(Vertices[[#This Row],[Vertex]],GroupVertices[Vertex],0)),1,1,"")</f>
        <v>1</v>
      </c>
      <c r="AV71" s="49">
        <v>0</v>
      </c>
      <c r="AW71" s="50">
        <v>0</v>
      </c>
      <c r="AX71" s="49">
        <v>0</v>
      </c>
      <c r="AY71" s="50">
        <v>0</v>
      </c>
      <c r="AZ71" s="49">
        <v>0</v>
      </c>
      <c r="BA71" s="50">
        <v>0</v>
      </c>
      <c r="BB71" s="49">
        <v>6</v>
      </c>
      <c r="BC71" s="50">
        <v>100</v>
      </c>
      <c r="BD71" s="49">
        <v>6</v>
      </c>
      <c r="BE71" s="49"/>
      <c r="BF71" s="49"/>
      <c r="BG71" s="49"/>
      <c r="BH71" s="49"/>
      <c r="BI71" s="49"/>
      <c r="BJ71" s="49"/>
      <c r="BK71" s="111" t="s">
        <v>2408</v>
      </c>
      <c r="BL71" s="111" t="s">
        <v>2408</v>
      </c>
      <c r="BM71" s="111" t="s">
        <v>2598</v>
      </c>
      <c r="BN71" s="111" t="s">
        <v>2598</v>
      </c>
      <c r="BO71" s="2"/>
      <c r="BP71" s="3"/>
      <c r="BQ71" s="3"/>
      <c r="BR71" s="3"/>
      <c r="BS71" s="3"/>
    </row>
    <row r="72" spans="1:71" ht="15">
      <c r="A72" s="65" t="s">
        <v>395</v>
      </c>
      <c r="B72" s="66"/>
      <c r="C72" s="66"/>
      <c r="D72" s="67">
        <v>150</v>
      </c>
      <c r="E72" s="69"/>
      <c r="F72" s="103" t="str">
        <f>HYPERLINK("https://yt3.ggpht.com/ytc/AKedOLSWWwXIk2ahkXM_gU9N2p__F_6mad23SI6VmR0G3w=s88-c-k-c0x00ffffff-no-rj")</f>
        <v>https://yt3.ggpht.com/ytc/AKedOLSWWwXIk2ahkXM_gU9N2p__F_6mad23SI6VmR0G3w=s88-c-k-c0x00ffffff-no-rj</v>
      </c>
      <c r="G72" s="66"/>
      <c r="H72" s="70" t="s">
        <v>908</v>
      </c>
      <c r="I72" s="71"/>
      <c r="J72" s="71" t="s">
        <v>159</v>
      </c>
      <c r="K72" s="70" t="s">
        <v>908</v>
      </c>
      <c r="L72" s="74">
        <v>1</v>
      </c>
      <c r="M72" s="75">
        <v>2203.501708984375</v>
      </c>
      <c r="N72" s="75">
        <v>8920.90625</v>
      </c>
      <c r="O72" s="76"/>
      <c r="P72" s="77"/>
      <c r="Q72" s="77"/>
      <c r="R72" s="89"/>
      <c r="S72" s="49">
        <v>1</v>
      </c>
      <c r="T72" s="49">
        <v>1</v>
      </c>
      <c r="U72" s="50">
        <v>0</v>
      </c>
      <c r="V72" s="50">
        <v>0.189881</v>
      </c>
      <c r="W72" s="50">
        <v>0.080745</v>
      </c>
      <c r="X72" s="50">
        <v>0.003874</v>
      </c>
      <c r="Y72" s="50">
        <v>0</v>
      </c>
      <c r="Z72" s="50">
        <v>1</v>
      </c>
      <c r="AA72" s="72">
        <v>72</v>
      </c>
      <c r="AB72" s="72"/>
      <c r="AC72" s="73"/>
      <c r="AD72" s="80" t="s">
        <v>908</v>
      </c>
      <c r="AE72" s="80"/>
      <c r="AF72" s="80"/>
      <c r="AG72" s="80"/>
      <c r="AH72" s="80"/>
      <c r="AI72" s="80"/>
      <c r="AJ72" s="87">
        <v>41640.28261574074</v>
      </c>
      <c r="AK72" s="85" t="str">
        <f>HYPERLINK("https://yt3.ggpht.com/ytc/AKedOLSWWwXIk2ahkXM_gU9N2p__F_6mad23SI6VmR0G3w=s88-c-k-c0x00ffffff-no-rj")</f>
        <v>https://yt3.ggpht.com/ytc/AKedOLSWWwXIk2ahkXM_gU9N2p__F_6mad23SI6VmR0G3w=s88-c-k-c0x00ffffff-no-rj</v>
      </c>
      <c r="AL72" s="80">
        <v>13</v>
      </c>
      <c r="AM72" s="80">
        <v>0</v>
      </c>
      <c r="AN72" s="80">
        <v>0</v>
      </c>
      <c r="AO72" s="80" t="b">
        <v>0</v>
      </c>
      <c r="AP72" s="80">
        <v>1</v>
      </c>
      <c r="AQ72" s="80"/>
      <c r="AR72" s="80"/>
      <c r="AS72" s="80" t="s">
        <v>1376</v>
      </c>
      <c r="AT72" s="85" t="str">
        <f>HYPERLINK("https://www.youtube.com/channel/UC8qUxVyfs-OHn8fApXBqjaQ")</f>
        <v>https://www.youtube.com/channel/UC8qUxVyfs-OHn8fApXBqjaQ</v>
      </c>
      <c r="AU72" s="80" t="str">
        <f>REPLACE(INDEX(GroupVertices[Group],MATCH(Vertices[[#This Row],[Vertex]],GroupVertices[Vertex],0)),1,1,"")</f>
        <v>1</v>
      </c>
      <c r="AV72" s="49">
        <v>1</v>
      </c>
      <c r="AW72" s="50">
        <v>4.166666666666667</v>
      </c>
      <c r="AX72" s="49">
        <v>0</v>
      </c>
      <c r="AY72" s="50">
        <v>0</v>
      </c>
      <c r="AZ72" s="49">
        <v>0</v>
      </c>
      <c r="BA72" s="50">
        <v>0</v>
      </c>
      <c r="BB72" s="49">
        <v>23</v>
      </c>
      <c r="BC72" s="50">
        <v>95.83333333333333</v>
      </c>
      <c r="BD72" s="49">
        <v>24</v>
      </c>
      <c r="BE72" s="49"/>
      <c r="BF72" s="49"/>
      <c r="BG72" s="49"/>
      <c r="BH72" s="49"/>
      <c r="BI72" s="49"/>
      <c r="BJ72" s="49"/>
      <c r="BK72" s="111" t="s">
        <v>2409</v>
      </c>
      <c r="BL72" s="111" t="s">
        <v>2409</v>
      </c>
      <c r="BM72" s="111" t="s">
        <v>2599</v>
      </c>
      <c r="BN72" s="111" t="s">
        <v>2599</v>
      </c>
      <c r="BO72" s="2"/>
      <c r="BP72" s="3"/>
      <c r="BQ72" s="3"/>
      <c r="BR72" s="3"/>
      <c r="BS72" s="3"/>
    </row>
    <row r="73" spans="1:71" ht="15">
      <c r="A73" s="65" t="s">
        <v>396</v>
      </c>
      <c r="B73" s="66"/>
      <c r="C73" s="66"/>
      <c r="D73" s="67">
        <v>150</v>
      </c>
      <c r="E73" s="69"/>
      <c r="F73" s="103" t="str">
        <f>HYPERLINK("https://yt3.ggpht.com/ytc/AKedOLRVhmGtm0SJkDL-XjsNvJwR1kG96gqmbhxNK49jvA=s88-c-k-c0x00ffffff-no-rj")</f>
        <v>https://yt3.ggpht.com/ytc/AKedOLRVhmGtm0SJkDL-XjsNvJwR1kG96gqmbhxNK49jvA=s88-c-k-c0x00ffffff-no-rj</v>
      </c>
      <c r="G73" s="66"/>
      <c r="H73" s="70" t="s">
        <v>909</v>
      </c>
      <c r="I73" s="71"/>
      <c r="J73" s="71" t="s">
        <v>159</v>
      </c>
      <c r="K73" s="70" t="s">
        <v>909</v>
      </c>
      <c r="L73" s="74">
        <v>1</v>
      </c>
      <c r="M73" s="75">
        <v>2459.216796875</v>
      </c>
      <c r="N73" s="75">
        <v>7519.140625</v>
      </c>
      <c r="O73" s="76"/>
      <c r="P73" s="77"/>
      <c r="Q73" s="77"/>
      <c r="R73" s="89"/>
      <c r="S73" s="49">
        <v>1</v>
      </c>
      <c r="T73" s="49">
        <v>1</v>
      </c>
      <c r="U73" s="50">
        <v>0</v>
      </c>
      <c r="V73" s="50">
        <v>0.189881</v>
      </c>
      <c r="W73" s="50">
        <v>0.080745</v>
      </c>
      <c r="X73" s="50">
        <v>0.003874</v>
      </c>
      <c r="Y73" s="50">
        <v>0</v>
      </c>
      <c r="Z73" s="50">
        <v>1</v>
      </c>
      <c r="AA73" s="72">
        <v>73</v>
      </c>
      <c r="AB73" s="72"/>
      <c r="AC73" s="73"/>
      <c r="AD73" s="80" t="s">
        <v>909</v>
      </c>
      <c r="AE73" s="80"/>
      <c r="AF73" s="80"/>
      <c r="AG73" s="80"/>
      <c r="AH73" s="80"/>
      <c r="AI73" s="80"/>
      <c r="AJ73" s="87">
        <v>41145.20013888889</v>
      </c>
      <c r="AK73" s="85" t="str">
        <f>HYPERLINK("https://yt3.ggpht.com/ytc/AKedOLRVhmGtm0SJkDL-XjsNvJwR1kG96gqmbhxNK49jvA=s88-c-k-c0x00ffffff-no-rj")</f>
        <v>https://yt3.ggpht.com/ytc/AKedOLRVhmGtm0SJkDL-XjsNvJwR1kG96gqmbhxNK49jvA=s88-c-k-c0x00ffffff-no-rj</v>
      </c>
      <c r="AL73" s="80">
        <v>0</v>
      </c>
      <c r="AM73" s="80">
        <v>0</v>
      </c>
      <c r="AN73" s="80">
        <v>0</v>
      </c>
      <c r="AO73" s="80" t="b">
        <v>0</v>
      </c>
      <c r="AP73" s="80">
        <v>0</v>
      </c>
      <c r="AQ73" s="80"/>
      <c r="AR73" s="80"/>
      <c r="AS73" s="80" t="s">
        <v>1376</v>
      </c>
      <c r="AT73" s="85" t="str">
        <f>HYPERLINK("https://www.youtube.com/channel/UCC6RgeCUyUrLDxO1W6Rat-Q")</f>
        <v>https://www.youtube.com/channel/UCC6RgeCUyUrLDxO1W6Rat-Q</v>
      </c>
      <c r="AU73" s="80" t="str">
        <f>REPLACE(INDEX(GroupVertices[Group],MATCH(Vertices[[#This Row],[Vertex]],GroupVertices[Vertex],0)),1,1,"")</f>
        <v>1</v>
      </c>
      <c r="AV73" s="49">
        <v>0</v>
      </c>
      <c r="AW73" s="50">
        <v>0</v>
      </c>
      <c r="AX73" s="49">
        <v>0</v>
      </c>
      <c r="AY73" s="50">
        <v>0</v>
      </c>
      <c r="AZ73" s="49">
        <v>0</v>
      </c>
      <c r="BA73" s="50">
        <v>0</v>
      </c>
      <c r="BB73" s="49">
        <v>11</v>
      </c>
      <c r="BC73" s="50">
        <v>100</v>
      </c>
      <c r="BD73" s="49">
        <v>11</v>
      </c>
      <c r="BE73" s="49"/>
      <c r="BF73" s="49"/>
      <c r="BG73" s="49"/>
      <c r="BH73" s="49"/>
      <c r="BI73" s="49"/>
      <c r="BJ73" s="49"/>
      <c r="BK73" s="111" t="s">
        <v>2410</v>
      </c>
      <c r="BL73" s="111" t="s">
        <v>2410</v>
      </c>
      <c r="BM73" s="111" t="s">
        <v>2600</v>
      </c>
      <c r="BN73" s="111" t="s">
        <v>2600</v>
      </c>
      <c r="BO73" s="2"/>
      <c r="BP73" s="3"/>
      <c r="BQ73" s="3"/>
      <c r="BR73" s="3"/>
      <c r="BS73" s="3"/>
    </row>
    <row r="74" spans="1:71" ht="15">
      <c r="A74" s="65" t="s">
        <v>397</v>
      </c>
      <c r="B74" s="66"/>
      <c r="C74" s="66"/>
      <c r="D74" s="67">
        <v>150</v>
      </c>
      <c r="E74" s="69"/>
      <c r="F74" s="103" t="str">
        <f>HYPERLINK("https://yt3.ggpht.com/ytc/AKedOLTDWHtyCcU4EN7-jh3HlKWrVRbNd7lPMcRHiw=s88-c-k-c0x00ffffff-no-rj")</f>
        <v>https://yt3.ggpht.com/ytc/AKedOLTDWHtyCcU4EN7-jh3HlKWrVRbNd7lPMcRHiw=s88-c-k-c0x00ffffff-no-rj</v>
      </c>
      <c r="G74" s="66"/>
      <c r="H74" s="70" t="s">
        <v>910</v>
      </c>
      <c r="I74" s="71"/>
      <c r="J74" s="71" t="s">
        <v>159</v>
      </c>
      <c r="K74" s="70" t="s">
        <v>910</v>
      </c>
      <c r="L74" s="74">
        <v>1</v>
      </c>
      <c r="M74" s="75">
        <v>9006.53125</v>
      </c>
      <c r="N74" s="75">
        <v>1657.9224853515625</v>
      </c>
      <c r="O74" s="76"/>
      <c r="P74" s="77"/>
      <c r="Q74" s="77"/>
      <c r="R74" s="89"/>
      <c r="S74" s="49">
        <v>0</v>
      </c>
      <c r="T74" s="49">
        <v>1</v>
      </c>
      <c r="U74" s="50">
        <v>0</v>
      </c>
      <c r="V74" s="50">
        <v>0.143783</v>
      </c>
      <c r="W74" s="50">
        <v>0.00918</v>
      </c>
      <c r="X74" s="50">
        <v>0.004132</v>
      </c>
      <c r="Y74" s="50">
        <v>0</v>
      </c>
      <c r="Z74" s="50">
        <v>0</v>
      </c>
      <c r="AA74" s="72">
        <v>74</v>
      </c>
      <c r="AB74" s="72"/>
      <c r="AC74" s="73"/>
      <c r="AD74" s="80" t="s">
        <v>910</v>
      </c>
      <c r="AE74" s="80"/>
      <c r="AF74" s="80"/>
      <c r="AG74" s="80"/>
      <c r="AH74" s="80"/>
      <c r="AI74" s="80"/>
      <c r="AJ74" s="87">
        <v>41951.594826388886</v>
      </c>
      <c r="AK74" s="85" t="str">
        <f>HYPERLINK("https://yt3.ggpht.com/ytc/AKedOLTDWHtyCcU4EN7-jh3HlKWrVRbNd7lPMcRHiw=s88-c-k-c0x00ffffff-no-rj")</f>
        <v>https://yt3.ggpht.com/ytc/AKedOLTDWHtyCcU4EN7-jh3HlKWrVRbNd7lPMcRHiw=s88-c-k-c0x00ffffff-no-rj</v>
      </c>
      <c r="AL74" s="80">
        <v>0</v>
      </c>
      <c r="AM74" s="80">
        <v>0</v>
      </c>
      <c r="AN74" s="80">
        <v>0</v>
      </c>
      <c r="AO74" s="80" t="b">
        <v>0</v>
      </c>
      <c r="AP74" s="80">
        <v>0</v>
      </c>
      <c r="AQ74" s="80"/>
      <c r="AR74" s="80"/>
      <c r="AS74" s="80" t="s">
        <v>1376</v>
      </c>
      <c r="AT74" s="85" t="str">
        <f>HYPERLINK("https://www.youtube.com/channel/UCI8WWtGB9PmGhesq1QVChQg")</f>
        <v>https://www.youtube.com/channel/UCI8WWtGB9PmGhesq1QVChQg</v>
      </c>
      <c r="AU74" s="80" t="str">
        <f>REPLACE(INDEX(GroupVertices[Group],MATCH(Vertices[[#This Row],[Vertex]],GroupVertices[Vertex],0)),1,1,"")</f>
        <v>18</v>
      </c>
      <c r="AV74" s="49">
        <v>2</v>
      </c>
      <c r="AW74" s="50">
        <v>2.7777777777777777</v>
      </c>
      <c r="AX74" s="49">
        <v>0</v>
      </c>
      <c r="AY74" s="50">
        <v>0</v>
      </c>
      <c r="AZ74" s="49">
        <v>0</v>
      </c>
      <c r="BA74" s="50">
        <v>0</v>
      </c>
      <c r="BB74" s="49">
        <v>70</v>
      </c>
      <c r="BC74" s="50">
        <v>97.22222222222223</v>
      </c>
      <c r="BD74" s="49">
        <v>72</v>
      </c>
      <c r="BE74" s="49"/>
      <c r="BF74" s="49"/>
      <c r="BG74" s="49"/>
      <c r="BH74" s="49"/>
      <c r="BI74" s="49"/>
      <c r="BJ74" s="49"/>
      <c r="BK74" s="111" t="s">
        <v>2411</v>
      </c>
      <c r="BL74" s="111" t="s">
        <v>2530</v>
      </c>
      <c r="BM74" s="111" t="s">
        <v>2601</v>
      </c>
      <c r="BN74" s="111" t="s">
        <v>2714</v>
      </c>
      <c r="BO74" s="2"/>
      <c r="BP74" s="3"/>
      <c r="BQ74" s="3"/>
      <c r="BR74" s="3"/>
      <c r="BS74" s="3"/>
    </row>
    <row r="75" spans="1:71" ht="15">
      <c r="A75" s="65" t="s">
        <v>398</v>
      </c>
      <c r="B75" s="66"/>
      <c r="C75" s="66"/>
      <c r="D75" s="67">
        <v>358.42911877394636</v>
      </c>
      <c r="E75" s="69"/>
      <c r="F75" s="103" t="str">
        <f>HYPERLINK("https://yt3.ggpht.com/ytc/AKedOLRrRhFKj8PRhLySNiWaEhdgejpbxGIzJjgDszGL=s88-c-k-c0x00ffffff-no-rj")</f>
        <v>https://yt3.ggpht.com/ytc/AKedOLRrRhFKj8PRhLySNiWaEhdgejpbxGIzJjgDszGL=s88-c-k-c0x00ffffff-no-rj</v>
      </c>
      <c r="G75" s="66"/>
      <c r="H75" s="70" t="s">
        <v>911</v>
      </c>
      <c r="I75" s="71"/>
      <c r="J75" s="71" t="s">
        <v>75</v>
      </c>
      <c r="K75" s="70" t="s">
        <v>911</v>
      </c>
      <c r="L75" s="74">
        <v>185.61174490149398</v>
      </c>
      <c r="M75" s="75">
        <v>9006.53125</v>
      </c>
      <c r="N75" s="75">
        <v>1268.2554931640625</v>
      </c>
      <c r="O75" s="76"/>
      <c r="P75" s="77"/>
      <c r="Q75" s="77"/>
      <c r="R75" s="89"/>
      <c r="S75" s="49">
        <v>2</v>
      </c>
      <c r="T75" s="49">
        <v>1</v>
      </c>
      <c r="U75" s="50">
        <v>256</v>
      </c>
      <c r="V75" s="50">
        <v>0.190852</v>
      </c>
      <c r="W75" s="50">
        <v>0.081776</v>
      </c>
      <c r="X75" s="50">
        <v>0.004494</v>
      </c>
      <c r="Y75" s="50">
        <v>0</v>
      </c>
      <c r="Z75" s="50">
        <v>0.5</v>
      </c>
      <c r="AA75" s="72">
        <v>75</v>
      </c>
      <c r="AB75" s="72"/>
      <c r="AC75" s="73"/>
      <c r="AD75" s="80" t="s">
        <v>911</v>
      </c>
      <c r="AE75" s="80"/>
      <c r="AF75" s="80"/>
      <c r="AG75" s="80"/>
      <c r="AH75" s="80"/>
      <c r="AI75" s="80"/>
      <c r="AJ75" s="87">
        <v>39378.7199537037</v>
      </c>
      <c r="AK75" s="85" t="str">
        <f>HYPERLINK("https://yt3.ggpht.com/ytc/AKedOLRrRhFKj8PRhLySNiWaEhdgejpbxGIzJjgDszGL=s88-c-k-c0x00ffffff-no-rj")</f>
        <v>https://yt3.ggpht.com/ytc/AKedOLRrRhFKj8PRhLySNiWaEhdgejpbxGIzJjgDszGL=s88-c-k-c0x00ffffff-no-rj</v>
      </c>
      <c r="AL75" s="80">
        <v>0</v>
      </c>
      <c r="AM75" s="80">
        <v>0</v>
      </c>
      <c r="AN75" s="80">
        <v>5</v>
      </c>
      <c r="AO75" s="80" t="b">
        <v>0</v>
      </c>
      <c r="AP75" s="80">
        <v>0</v>
      </c>
      <c r="AQ75" s="80"/>
      <c r="AR75" s="80"/>
      <c r="AS75" s="80" t="s">
        <v>1376</v>
      </c>
      <c r="AT75" s="85" t="str">
        <f>HYPERLINK("https://www.youtube.com/channel/UCUm577M0SQnlguRkdcfUa1Q")</f>
        <v>https://www.youtube.com/channel/UCUm577M0SQnlguRkdcfUa1Q</v>
      </c>
      <c r="AU75" s="80" t="str">
        <f>REPLACE(INDEX(GroupVertices[Group],MATCH(Vertices[[#This Row],[Vertex]],GroupVertices[Vertex],0)),1,1,"")</f>
        <v>18</v>
      </c>
      <c r="AV75" s="49">
        <v>0</v>
      </c>
      <c r="AW75" s="50">
        <v>0</v>
      </c>
      <c r="AX75" s="49">
        <v>0</v>
      </c>
      <c r="AY75" s="50">
        <v>0</v>
      </c>
      <c r="AZ75" s="49">
        <v>0</v>
      </c>
      <c r="BA75" s="50">
        <v>0</v>
      </c>
      <c r="BB75" s="49">
        <v>24</v>
      </c>
      <c r="BC75" s="50">
        <v>100</v>
      </c>
      <c r="BD75" s="49">
        <v>24</v>
      </c>
      <c r="BE75" s="49"/>
      <c r="BF75" s="49"/>
      <c r="BG75" s="49"/>
      <c r="BH75" s="49"/>
      <c r="BI75" s="49"/>
      <c r="BJ75" s="49"/>
      <c r="BK75" s="111" t="s">
        <v>2412</v>
      </c>
      <c r="BL75" s="111" t="s">
        <v>2412</v>
      </c>
      <c r="BM75" s="111" t="s">
        <v>2602</v>
      </c>
      <c r="BN75" s="111" t="s">
        <v>2602</v>
      </c>
      <c r="BO75" s="2"/>
      <c r="BP75" s="3"/>
      <c r="BQ75" s="3"/>
      <c r="BR75" s="3"/>
      <c r="BS75" s="3"/>
    </row>
    <row r="76" spans="1:71" ht="15">
      <c r="A76" s="65" t="s">
        <v>399</v>
      </c>
      <c r="B76" s="66"/>
      <c r="C76" s="66"/>
      <c r="D76" s="67">
        <v>150</v>
      </c>
      <c r="E76" s="69"/>
      <c r="F76" s="103" t="str">
        <f>HYPERLINK("https://yt3.ggpht.com/ytc/AKedOLT5rHQR_K2OobRNPEqgepBDqkA5H8NQ58VFQQ=s88-c-k-c0x00ffffff-no-rj")</f>
        <v>https://yt3.ggpht.com/ytc/AKedOLT5rHQR_K2OobRNPEqgepBDqkA5H8NQ58VFQQ=s88-c-k-c0x00ffffff-no-rj</v>
      </c>
      <c r="G76" s="66"/>
      <c r="H76" s="70" t="s">
        <v>912</v>
      </c>
      <c r="I76" s="71"/>
      <c r="J76" s="71" t="s">
        <v>159</v>
      </c>
      <c r="K76" s="70" t="s">
        <v>912</v>
      </c>
      <c r="L76" s="74">
        <v>1</v>
      </c>
      <c r="M76" s="75">
        <v>2304.283447265625</v>
      </c>
      <c r="N76" s="75">
        <v>3517.771728515625</v>
      </c>
      <c r="O76" s="76"/>
      <c r="P76" s="77"/>
      <c r="Q76" s="77"/>
      <c r="R76" s="89"/>
      <c r="S76" s="49">
        <v>0</v>
      </c>
      <c r="T76" s="49">
        <v>1</v>
      </c>
      <c r="U76" s="50">
        <v>0</v>
      </c>
      <c r="V76" s="50">
        <v>0.189881</v>
      </c>
      <c r="W76" s="50">
        <v>0.080745</v>
      </c>
      <c r="X76" s="50">
        <v>0.003874</v>
      </c>
      <c r="Y76" s="50">
        <v>0</v>
      </c>
      <c r="Z76" s="50">
        <v>0</v>
      </c>
      <c r="AA76" s="72">
        <v>76</v>
      </c>
      <c r="AB76" s="72"/>
      <c r="AC76" s="73"/>
      <c r="AD76" s="80" t="s">
        <v>912</v>
      </c>
      <c r="AE76" s="80"/>
      <c r="AF76" s="80"/>
      <c r="AG76" s="80"/>
      <c r="AH76" s="80"/>
      <c r="AI76" s="80"/>
      <c r="AJ76" s="87">
        <v>42511.309641203705</v>
      </c>
      <c r="AK76" s="85" t="str">
        <f>HYPERLINK("https://yt3.ggpht.com/ytc/AKedOLT5rHQR_K2OobRNPEqgepBDqkA5H8NQ58VFQQ=s88-c-k-c0x00ffffff-no-rj")</f>
        <v>https://yt3.ggpht.com/ytc/AKedOLT5rHQR_K2OobRNPEqgepBDqkA5H8NQ58VFQQ=s88-c-k-c0x00ffffff-no-rj</v>
      </c>
      <c r="AL76" s="80">
        <v>118</v>
      </c>
      <c r="AM76" s="80">
        <v>0</v>
      </c>
      <c r="AN76" s="80">
        <v>1</v>
      </c>
      <c r="AO76" s="80" t="b">
        <v>0</v>
      </c>
      <c r="AP76" s="80">
        <v>1</v>
      </c>
      <c r="AQ76" s="80"/>
      <c r="AR76" s="80"/>
      <c r="AS76" s="80" t="s">
        <v>1376</v>
      </c>
      <c r="AT76" s="85" t="str">
        <f>HYPERLINK("https://www.youtube.com/channel/UCHBzTw6zFU-YYZ9ohpX9lKQ")</f>
        <v>https://www.youtube.com/channel/UCHBzTw6zFU-YYZ9ohpX9lKQ</v>
      </c>
      <c r="AU76" s="80" t="str">
        <f>REPLACE(INDEX(GroupVertices[Group],MATCH(Vertices[[#This Row],[Vertex]],GroupVertices[Vertex],0)),1,1,"")</f>
        <v>1</v>
      </c>
      <c r="AV76" s="49">
        <v>0</v>
      </c>
      <c r="AW76" s="50">
        <v>0</v>
      </c>
      <c r="AX76" s="49">
        <v>1</v>
      </c>
      <c r="AY76" s="50">
        <v>5.555555555555555</v>
      </c>
      <c r="AZ76" s="49">
        <v>0</v>
      </c>
      <c r="BA76" s="50">
        <v>0</v>
      </c>
      <c r="BB76" s="49">
        <v>17</v>
      </c>
      <c r="BC76" s="50">
        <v>94.44444444444444</v>
      </c>
      <c r="BD76" s="49">
        <v>18</v>
      </c>
      <c r="BE76" s="49"/>
      <c r="BF76" s="49"/>
      <c r="BG76" s="49"/>
      <c r="BH76" s="49"/>
      <c r="BI76" s="49"/>
      <c r="BJ76" s="49"/>
      <c r="BK76" s="111" t="s">
        <v>2413</v>
      </c>
      <c r="BL76" s="111" t="s">
        <v>2413</v>
      </c>
      <c r="BM76" s="111" t="s">
        <v>2603</v>
      </c>
      <c r="BN76" s="111" t="s">
        <v>2603</v>
      </c>
      <c r="BO76" s="2"/>
      <c r="BP76" s="3"/>
      <c r="BQ76" s="3"/>
      <c r="BR76" s="3"/>
      <c r="BS76" s="3"/>
    </row>
    <row r="77" spans="1:71" ht="15">
      <c r="A77" s="65" t="s">
        <v>400</v>
      </c>
      <c r="B77" s="66"/>
      <c r="C77" s="66"/>
      <c r="D77" s="67">
        <v>150</v>
      </c>
      <c r="E77" s="69"/>
      <c r="F77" s="103" t="str">
        <f>HYPERLINK("https://yt3.ggpht.com/ytc/AKedOLSHoPNN6PvAEa0vSXvfHJnVUlAUaJ3ucrxPYetJ=s88-c-k-c0x00ffffff-no-rj")</f>
        <v>https://yt3.ggpht.com/ytc/AKedOLSHoPNN6PvAEa0vSXvfHJnVUlAUaJ3ucrxPYetJ=s88-c-k-c0x00ffffff-no-rj</v>
      </c>
      <c r="G77" s="66"/>
      <c r="H77" s="70" t="s">
        <v>913</v>
      </c>
      <c r="I77" s="71"/>
      <c r="J77" s="71" t="s">
        <v>159</v>
      </c>
      <c r="K77" s="70" t="s">
        <v>913</v>
      </c>
      <c r="L77" s="74">
        <v>1</v>
      </c>
      <c r="M77" s="75">
        <v>1601.2001953125</v>
      </c>
      <c r="N77" s="75">
        <v>2854.277587890625</v>
      </c>
      <c r="O77" s="76"/>
      <c r="P77" s="77"/>
      <c r="Q77" s="77"/>
      <c r="R77" s="89"/>
      <c r="S77" s="49">
        <v>0</v>
      </c>
      <c r="T77" s="49">
        <v>1</v>
      </c>
      <c r="U77" s="50">
        <v>0</v>
      </c>
      <c r="V77" s="50">
        <v>0.189881</v>
      </c>
      <c r="W77" s="50">
        <v>0.080745</v>
      </c>
      <c r="X77" s="50">
        <v>0.003874</v>
      </c>
      <c r="Y77" s="50">
        <v>0</v>
      </c>
      <c r="Z77" s="50">
        <v>0</v>
      </c>
      <c r="AA77" s="72">
        <v>77</v>
      </c>
      <c r="AB77" s="72"/>
      <c r="AC77" s="73"/>
      <c r="AD77" s="80" t="s">
        <v>913</v>
      </c>
      <c r="AE77" s="80" t="s">
        <v>1308</v>
      </c>
      <c r="AF77" s="80"/>
      <c r="AG77" s="80"/>
      <c r="AH77" s="80"/>
      <c r="AI77" s="80"/>
      <c r="AJ77" s="87">
        <v>39738.33255787037</v>
      </c>
      <c r="AK77" s="85" t="str">
        <f>HYPERLINK("https://yt3.ggpht.com/ytc/AKedOLSHoPNN6PvAEa0vSXvfHJnVUlAUaJ3ucrxPYetJ=s88-c-k-c0x00ffffff-no-rj")</f>
        <v>https://yt3.ggpht.com/ytc/AKedOLSHoPNN6PvAEa0vSXvfHJnVUlAUaJ3ucrxPYetJ=s88-c-k-c0x00ffffff-no-rj</v>
      </c>
      <c r="AL77" s="80">
        <v>1607667</v>
      </c>
      <c r="AM77" s="80">
        <v>0</v>
      </c>
      <c r="AN77" s="80">
        <v>3510</v>
      </c>
      <c r="AO77" s="80" t="b">
        <v>0</v>
      </c>
      <c r="AP77" s="80">
        <v>135</v>
      </c>
      <c r="AQ77" s="80"/>
      <c r="AR77" s="80"/>
      <c r="AS77" s="80" t="s">
        <v>1376</v>
      </c>
      <c r="AT77" s="85" t="str">
        <f>HYPERLINK("https://www.youtube.com/channel/UCoLCzvtVkU29FpAVVsAK-wg")</f>
        <v>https://www.youtube.com/channel/UCoLCzvtVkU29FpAVVsAK-wg</v>
      </c>
      <c r="AU77" s="80" t="str">
        <f>REPLACE(INDEX(GroupVertices[Group],MATCH(Vertices[[#This Row],[Vertex]],GroupVertices[Vertex],0)),1,1,"")</f>
        <v>1</v>
      </c>
      <c r="AV77" s="49">
        <v>1</v>
      </c>
      <c r="AW77" s="50">
        <v>7.6923076923076925</v>
      </c>
      <c r="AX77" s="49">
        <v>1</v>
      </c>
      <c r="AY77" s="50">
        <v>7.6923076923076925</v>
      </c>
      <c r="AZ77" s="49">
        <v>0</v>
      </c>
      <c r="BA77" s="50">
        <v>0</v>
      </c>
      <c r="BB77" s="49">
        <v>11</v>
      </c>
      <c r="BC77" s="50">
        <v>84.61538461538461</v>
      </c>
      <c r="BD77" s="49">
        <v>13</v>
      </c>
      <c r="BE77" s="49"/>
      <c r="BF77" s="49"/>
      <c r="BG77" s="49"/>
      <c r="BH77" s="49"/>
      <c r="BI77" s="49"/>
      <c r="BJ77" s="49"/>
      <c r="BK77" s="111" t="s">
        <v>2414</v>
      </c>
      <c r="BL77" s="111" t="s">
        <v>2414</v>
      </c>
      <c r="BM77" s="111" t="s">
        <v>2604</v>
      </c>
      <c r="BN77" s="111" t="s">
        <v>2604</v>
      </c>
      <c r="BO77" s="2"/>
      <c r="BP77" s="3"/>
      <c r="BQ77" s="3"/>
      <c r="BR77" s="3"/>
      <c r="BS77" s="3"/>
    </row>
    <row r="78" spans="1:71" ht="15">
      <c r="A78" s="65" t="s">
        <v>401</v>
      </c>
      <c r="B78" s="66"/>
      <c r="C78" s="66"/>
      <c r="D78" s="67">
        <v>150</v>
      </c>
      <c r="E78" s="69"/>
      <c r="F78" s="103" t="str">
        <f>HYPERLINK("https://yt3.ggpht.com/ytc/AKedOLTXssWv7sKLJd6t8cqEsfYN_N_rZ21aUwZ3SJIXEg=s88-c-k-c0x00ffffff-no-rj")</f>
        <v>https://yt3.ggpht.com/ytc/AKedOLTXssWv7sKLJd6t8cqEsfYN_N_rZ21aUwZ3SJIXEg=s88-c-k-c0x00ffffff-no-rj</v>
      </c>
      <c r="G78" s="66"/>
      <c r="H78" s="70" t="s">
        <v>914</v>
      </c>
      <c r="I78" s="71"/>
      <c r="J78" s="71" t="s">
        <v>159</v>
      </c>
      <c r="K78" s="70" t="s">
        <v>914</v>
      </c>
      <c r="L78" s="74">
        <v>1</v>
      </c>
      <c r="M78" s="75">
        <v>676.3643188476562</v>
      </c>
      <c r="N78" s="75">
        <v>5975.5517578125</v>
      </c>
      <c r="O78" s="76"/>
      <c r="P78" s="77"/>
      <c r="Q78" s="77"/>
      <c r="R78" s="89"/>
      <c r="S78" s="49">
        <v>0</v>
      </c>
      <c r="T78" s="49">
        <v>1</v>
      </c>
      <c r="U78" s="50">
        <v>0</v>
      </c>
      <c r="V78" s="50">
        <v>0.189881</v>
      </c>
      <c r="W78" s="50">
        <v>0.080745</v>
      </c>
      <c r="X78" s="50">
        <v>0.003874</v>
      </c>
      <c r="Y78" s="50">
        <v>0</v>
      </c>
      <c r="Z78" s="50">
        <v>0</v>
      </c>
      <c r="AA78" s="72">
        <v>78</v>
      </c>
      <c r="AB78" s="72"/>
      <c r="AC78" s="73"/>
      <c r="AD78" s="80" t="s">
        <v>914</v>
      </c>
      <c r="AE78" s="80"/>
      <c r="AF78" s="80"/>
      <c r="AG78" s="80"/>
      <c r="AH78" s="80"/>
      <c r="AI78" s="80"/>
      <c r="AJ78" s="87">
        <v>41603.232615740744</v>
      </c>
      <c r="AK78" s="85" t="str">
        <f>HYPERLINK("https://yt3.ggpht.com/ytc/AKedOLTXssWv7sKLJd6t8cqEsfYN_N_rZ21aUwZ3SJIXEg=s88-c-k-c0x00ffffff-no-rj")</f>
        <v>https://yt3.ggpht.com/ytc/AKedOLTXssWv7sKLJd6t8cqEsfYN_N_rZ21aUwZ3SJIXEg=s88-c-k-c0x00ffffff-no-rj</v>
      </c>
      <c r="AL78" s="80">
        <v>20</v>
      </c>
      <c r="AM78" s="80">
        <v>0</v>
      </c>
      <c r="AN78" s="80">
        <v>0</v>
      </c>
      <c r="AO78" s="80" t="b">
        <v>1</v>
      </c>
      <c r="AP78" s="80">
        <v>1</v>
      </c>
      <c r="AQ78" s="80"/>
      <c r="AR78" s="80"/>
      <c r="AS78" s="80" t="s">
        <v>1376</v>
      </c>
      <c r="AT78" s="85" t="str">
        <f>HYPERLINK("https://www.youtube.com/channel/UC52SPb7BsvpH0HWbkSk8Jdg")</f>
        <v>https://www.youtube.com/channel/UC52SPb7BsvpH0HWbkSk8Jdg</v>
      </c>
      <c r="AU78" s="80" t="str">
        <f>REPLACE(INDEX(GroupVertices[Group],MATCH(Vertices[[#This Row],[Vertex]],GroupVertices[Vertex],0)),1,1,"")</f>
        <v>1</v>
      </c>
      <c r="AV78" s="49">
        <v>1</v>
      </c>
      <c r="AW78" s="50">
        <v>33.333333333333336</v>
      </c>
      <c r="AX78" s="49">
        <v>0</v>
      </c>
      <c r="AY78" s="50">
        <v>0</v>
      </c>
      <c r="AZ78" s="49">
        <v>0</v>
      </c>
      <c r="BA78" s="50">
        <v>0</v>
      </c>
      <c r="BB78" s="49">
        <v>2</v>
      </c>
      <c r="BC78" s="50">
        <v>66.66666666666667</v>
      </c>
      <c r="BD78" s="49">
        <v>3</v>
      </c>
      <c r="BE78" s="49"/>
      <c r="BF78" s="49"/>
      <c r="BG78" s="49"/>
      <c r="BH78" s="49"/>
      <c r="BI78" s="49"/>
      <c r="BJ78" s="49"/>
      <c r="BK78" s="111" t="s">
        <v>2415</v>
      </c>
      <c r="BL78" s="111" t="s">
        <v>2415</v>
      </c>
      <c r="BM78" s="111" t="s">
        <v>2605</v>
      </c>
      <c r="BN78" s="111" t="s">
        <v>2605</v>
      </c>
      <c r="BO78" s="2"/>
      <c r="BP78" s="3"/>
      <c r="BQ78" s="3"/>
      <c r="BR78" s="3"/>
      <c r="BS78" s="3"/>
    </row>
    <row r="79" spans="1:71" ht="15">
      <c r="A79" s="65" t="s">
        <v>402</v>
      </c>
      <c r="B79" s="66"/>
      <c r="C79" s="66"/>
      <c r="D79" s="67">
        <v>150</v>
      </c>
      <c r="E79" s="69"/>
      <c r="F79" s="103" t="str">
        <f>HYPERLINK("https://yt3.ggpht.com/ytc/AKedOLSaIqNfy4dJgLWTO5R8apgzbIKmsb-pSOqXQBcY8Q=s88-c-k-c0x00ffffff-no-rj")</f>
        <v>https://yt3.ggpht.com/ytc/AKedOLSaIqNfy4dJgLWTO5R8apgzbIKmsb-pSOqXQBcY8Q=s88-c-k-c0x00ffffff-no-rj</v>
      </c>
      <c r="G79" s="66"/>
      <c r="H79" s="70" t="s">
        <v>915</v>
      </c>
      <c r="I79" s="71"/>
      <c r="J79" s="71" t="s">
        <v>159</v>
      </c>
      <c r="K79" s="70" t="s">
        <v>915</v>
      </c>
      <c r="L79" s="74">
        <v>1</v>
      </c>
      <c r="M79" s="75">
        <v>1129.220703125</v>
      </c>
      <c r="N79" s="75">
        <v>4238.80322265625</v>
      </c>
      <c r="O79" s="76"/>
      <c r="P79" s="77"/>
      <c r="Q79" s="77"/>
      <c r="R79" s="89"/>
      <c r="S79" s="49">
        <v>0</v>
      </c>
      <c r="T79" s="49">
        <v>1</v>
      </c>
      <c r="U79" s="50">
        <v>0</v>
      </c>
      <c r="V79" s="50">
        <v>0.189881</v>
      </c>
      <c r="W79" s="50">
        <v>0.080745</v>
      </c>
      <c r="X79" s="50">
        <v>0.003874</v>
      </c>
      <c r="Y79" s="50">
        <v>0</v>
      </c>
      <c r="Z79" s="50">
        <v>0</v>
      </c>
      <c r="AA79" s="72">
        <v>79</v>
      </c>
      <c r="AB79" s="72"/>
      <c r="AC79" s="73"/>
      <c r="AD79" s="80" t="s">
        <v>915</v>
      </c>
      <c r="AE79" s="80"/>
      <c r="AF79" s="80"/>
      <c r="AG79" s="80"/>
      <c r="AH79" s="80"/>
      <c r="AI79" s="80"/>
      <c r="AJ79" s="87">
        <v>42500.57728009259</v>
      </c>
      <c r="AK79" s="85" t="str">
        <f>HYPERLINK("https://yt3.ggpht.com/ytc/AKedOLSaIqNfy4dJgLWTO5R8apgzbIKmsb-pSOqXQBcY8Q=s88-c-k-c0x00ffffff-no-rj")</f>
        <v>https://yt3.ggpht.com/ytc/AKedOLSaIqNfy4dJgLWTO5R8apgzbIKmsb-pSOqXQBcY8Q=s88-c-k-c0x00ffffff-no-rj</v>
      </c>
      <c r="AL79" s="80">
        <v>288</v>
      </c>
      <c r="AM79" s="80">
        <v>0</v>
      </c>
      <c r="AN79" s="80">
        <v>9</v>
      </c>
      <c r="AO79" s="80" t="b">
        <v>0</v>
      </c>
      <c r="AP79" s="80">
        <v>2</v>
      </c>
      <c r="AQ79" s="80"/>
      <c r="AR79" s="80"/>
      <c r="AS79" s="80" t="s">
        <v>1376</v>
      </c>
      <c r="AT79" s="85" t="str">
        <f>HYPERLINK("https://www.youtube.com/channel/UCbldxxrB86AYD-2LJsgqpOA")</f>
        <v>https://www.youtube.com/channel/UCbldxxrB86AYD-2LJsgqpOA</v>
      </c>
      <c r="AU79" s="80" t="str">
        <f>REPLACE(INDEX(GroupVertices[Group],MATCH(Vertices[[#This Row],[Vertex]],GroupVertices[Vertex],0)),1,1,"")</f>
        <v>1</v>
      </c>
      <c r="AV79" s="49">
        <v>1</v>
      </c>
      <c r="AW79" s="50">
        <v>2.857142857142857</v>
      </c>
      <c r="AX79" s="49">
        <v>0</v>
      </c>
      <c r="AY79" s="50">
        <v>0</v>
      </c>
      <c r="AZ79" s="49">
        <v>0</v>
      </c>
      <c r="BA79" s="50">
        <v>0</v>
      </c>
      <c r="BB79" s="49">
        <v>34</v>
      </c>
      <c r="BC79" s="50">
        <v>97.14285714285714</v>
      </c>
      <c r="BD79" s="49">
        <v>35</v>
      </c>
      <c r="BE79" s="49"/>
      <c r="BF79" s="49"/>
      <c r="BG79" s="49"/>
      <c r="BH79" s="49"/>
      <c r="BI79" s="49"/>
      <c r="BJ79" s="49"/>
      <c r="BK79" s="111" t="s">
        <v>2416</v>
      </c>
      <c r="BL79" s="111" t="s">
        <v>2416</v>
      </c>
      <c r="BM79" s="111" t="s">
        <v>2606</v>
      </c>
      <c r="BN79" s="111" t="s">
        <v>2606</v>
      </c>
      <c r="BO79" s="2"/>
      <c r="BP79" s="3"/>
      <c r="BQ79" s="3"/>
      <c r="BR79" s="3"/>
      <c r="BS79" s="3"/>
    </row>
    <row r="80" spans="1:71" ht="15">
      <c r="A80" s="65" t="s">
        <v>403</v>
      </c>
      <c r="B80" s="66"/>
      <c r="C80" s="66"/>
      <c r="D80" s="67">
        <v>150</v>
      </c>
      <c r="E80" s="69"/>
      <c r="F80" s="103" t="str">
        <f>HYPERLINK("https://yt3.ggpht.com/GDV-DHsvHx9qYhTUa4OSPd6c_Zh_PxkvYwYYrA-zdKHIYOaHeyBqfTZv2051rMuRFI4uKyJp8Q=s88-c-k-c0x00ffffff-no-rj")</f>
        <v>https://yt3.ggpht.com/GDV-DHsvHx9qYhTUa4OSPd6c_Zh_PxkvYwYYrA-zdKHIYOaHeyBqfTZv2051rMuRFI4uKyJp8Q=s88-c-k-c0x00ffffff-no-rj</v>
      </c>
      <c r="G80" s="66"/>
      <c r="H80" s="70" t="s">
        <v>916</v>
      </c>
      <c r="I80" s="71"/>
      <c r="J80" s="71" t="s">
        <v>159</v>
      </c>
      <c r="K80" s="70" t="s">
        <v>916</v>
      </c>
      <c r="L80" s="74">
        <v>1</v>
      </c>
      <c r="M80" s="75">
        <v>6189.99462890625</v>
      </c>
      <c r="N80" s="75">
        <v>3054.486572265625</v>
      </c>
      <c r="O80" s="76"/>
      <c r="P80" s="77"/>
      <c r="Q80" s="77"/>
      <c r="R80" s="89"/>
      <c r="S80" s="49">
        <v>0</v>
      </c>
      <c r="T80" s="49">
        <v>1</v>
      </c>
      <c r="U80" s="50">
        <v>0</v>
      </c>
      <c r="V80" s="50">
        <v>0.014676</v>
      </c>
      <c r="W80" s="50">
        <v>0</v>
      </c>
      <c r="X80" s="50">
        <v>0.003956</v>
      </c>
      <c r="Y80" s="50">
        <v>0</v>
      </c>
      <c r="Z80" s="50">
        <v>0</v>
      </c>
      <c r="AA80" s="72">
        <v>80</v>
      </c>
      <c r="AB80" s="72"/>
      <c r="AC80" s="73"/>
      <c r="AD80" s="80" t="s">
        <v>916</v>
      </c>
      <c r="AE80" s="80"/>
      <c r="AF80" s="80"/>
      <c r="AG80" s="80"/>
      <c r="AH80" s="80"/>
      <c r="AI80" s="80"/>
      <c r="AJ80" s="87">
        <v>40831.33283564815</v>
      </c>
      <c r="AK80" s="85" t="str">
        <f>HYPERLINK("https://yt3.ggpht.com/GDV-DHsvHx9qYhTUa4OSPd6c_Zh_PxkvYwYYrA-zdKHIYOaHeyBqfTZv2051rMuRFI4uKyJp8Q=s88-c-k-c0x00ffffff-no-rj")</f>
        <v>https://yt3.ggpht.com/GDV-DHsvHx9qYhTUa4OSPd6c_Zh_PxkvYwYYrA-zdKHIYOaHeyBqfTZv2051rMuRFI4uKyJp8Q=s88-c-k-c0x00ffffff-no-rj</v>
      </c>
      <c r="AL80" s="80">
        <v>937</v>
      </c>
      <c r="AM80" s="80">
        <v>0</v>
      </c>
      <c r="AN80" s="80">
        <v>10</v>
      </c>
      <c r="AO80" s="80" t="b">
        <v>0</v>
      </c>
      <c r="AP80" s="80">
        <v>3</v>
      </c>
      <c r="AQ80" s="80"/>
      <c r="AR80" s="80"/>
      <c r="AS80" s="80" t="s">
        <v>1376</v>
      </c>
      <c r="AT80" s="85" t="str">
        <f>HYPERLINK("https://www.youtube.com/channel/UC0qJaSE8JW7BoCYedij1fPg")</f>
        <v>https://www.youtube.com/channel/UC0qJaSE8JW7BoCYedij1fPg</v>
      </c>
      <c r="AU80" s="80" t="str">
        <f>REPLACE(INDEX(GroupVertices[Group],MATCH(Vertices[[#This Row],[Vertex]],GroupVertices[Vertex],0)),1,1,"")</f>
        <v>10</v>
      </c>
      <c r="AV80" s="49">
        <v>2</v>
      </c>
      <c r="AW80" s="50">
        <v>12.5</v>
      </c>
      <c r="AX80" s="49">
        <v>0</v>
      </c>
      <c r="AY80" s="50">
        <v>0</v>
      </c>
      <c r="AZ80" s="49">
        <v>0</v>
      </c>
      <c r="BA80" s="50">
        <v>0</v>
      </c>
      <c r="BB80" s="49">
        <v>14</v>
      </c>
      <c r="BC80" s="50">
        <v>87.5</v>
      </c>
      <c r="BD80" s="49">
        <v>16</v>
      </c>
      <c r="BE80" s="49"/>
      <c r="BF80" s="49"/>
      <c r="BG80" s="49"/>
      <c r="BH80" s="49"/>
      <c r="BI80" s="49"/>
      <c r="BJ80" s="49"/>
      <c r="BK80" s="111" t="s">
        <v>2417</v>
      </c>
      <c r="BL80" s="111" t="s">
        <v>2417</v>
      </c>
      <c r="BM80" s="111" t="s">
        <v>2607</v>
      </c>
      <c r="BN80" s="111" t="s">
        <v>2607</v>
      </c>
      <c r="BO80" s="2"/>
      <c r="BP80" s="3"/>
      <c r="BQ80" s="3"/>
      <c r="BR80" s="3"/>
      <c r="BS80" s="3"/>
    </row>
    <row r="81" spans="1:71" ht="15">
      <c r="A81" s="65" t="s">
        <v>550</v>
      </c>
      <c r="B81" s="66"/>
      <c r="C81" s="66"/>
      <c r="D81" s="67">
        <v>174.42528735632183</v>
      </c>
      <c r="E81" s="69"/>
      <c r="F81" s="103" t="str">
        <f>HYPERLINK("https://yt3.ggpht.com/ytc/AKedOLREFKkIOr9uFqSVDw3aRpnWxUmiuOrumWoeWA=s88-c-k-c0x00ffffff-no-rj")</f>
        <v>https://yt3.ggpht.com/ytc/AKedOLREFKkIOr9uFqSVDw3aRpnWxUmiuOrumWoeWA=s88-c-k-c0x00ffffff-no-rj</v>
      </c>
      <c r="G81" s="66"/>
      <c r="H81" s="70" t="s">
        <v>1263</v>
      </c>
      <c r="I81" s="71"/>
      <c r="J81" s="71" t="s">
        <v>75</v>
      </c>
      <c r="K81" s="70" t="s">
        <v>1263</v>
      </c>
      <c r="L81" s="74">
        <v>22.634188855643828</v>
      </c>
      <c r="M81" s="75">
        <v>6307.11572265625</v>
      </c>
      <c r="N81" s="75">
        <v>3490.882080078125</v>
      </c>
      <c r="O81" s="76"/>
      <c r="P81" s="77"/>
      <c r="Q81" s="77"/>
      <c r="R81" s="89"/>
      <c r="S81" s="49">
        <v>7</v>
      </c>
      <c r="T81" s="49">
        <v>1</v>
      </c>
      <c r="U81" s="50">
        <v>30</v>
      </c>
      <c r="V81" s="50">
        <v>0.026906</v>
      </c>
      <c r="W81" s="50">
        <v>0</v>
      </c>
      <c r="X81" s="50">
        <v>0.007516</v>
      </c>
      <c r="Y81" s="50">
        <v>0</v>
      </c>
      <c r="Z81" s="50">
        <v>0</v>
      </c>
      <c r="AA81" s="72">
        <v>81</v>
      </c>
      <c r="AB81" s="72"/>
      <c r="AC81" s="73"/>
      <c r="AD81" s="80" t="s">
        <v>1263</v>
      </c>
      <c r="AE81" s="80"/>
      <c r="AF81" s="80"/>
      <c r="AG81" s="80"/>
      <c r="AH81" s="80"/>
      <c r="AI81" s="80"/>
      <c r="AJ81" s="87">
        <v>41331.88664351852</v>
      </c>
      <c r="AK81" s="85" t="str">
        <f>HYPERLINK("https://yt3.ggpht.com/ytc/AKedOLREFKkIOr9uFqSVDw3aRpnWxUmiuOrumWoeWA=s88-c-k-c0x00ffffff-no-rj")</f>
        <v>https://yt3.ggpht.com/ytc/AKedOLREFKkIOr9uFqSVDw3aRpnWxUmiuOrumWoeWA=s88-c-k-c0x00ffffff-no-rj</v>
      </c>
      <c r="AL81" s="80">
        <v>11526</v>
      </c>
      <c r="AM81" s="80">
        <v>0</v>
      </c>
      <c r="AN81" s="80">
        <v>16</v>
      </c>
      <c r="AO81" s="80" t="b">
        <v>0</v>
      </c>
      <c r="AP81" s="80">
        <v>7</v>
      </c>
      <c r="AQ81" s="80"/>
      <c r="AR81" s="80"/>
      <c r="AS81" s="80" t="s">
        <v>1376</v>
      </c>
      <c r="AT81" s="85" t="str">
        <f>HYPERLINK("https://www.youtube.com/channel/UCif9JdoLvBtApiSu94tWjPg")</f>
        <v>https://www.youtube.com/channel/UCif9JdoLvBtApiSu94tWjPg</v>
      </c>
      <c r="AU81" s="80" t="str">
        <f>REPLACE(INDEX(GroupVertices[Group],MATCH(Vertices[[#This Row],[Vertex]],GroupVertices[Vertex],0)),1,1,"")</f>
        <v>10</v>
      </c>
      <c r="AV81" s="49"/>
      <c r="AW81" s="50"/>
      <c r="AX81" s="49"/>
      <c r="AY81" s="50"/>
      <c r="AZ81" s="49"/>
      <c r="BA81" s="50"/>
      <c r="BB81" s="49"/>
      <c r="BC81" s="50"/>
      <c r="BD81" s="49"/>
      <c r="BE81" s="49"/>
      <c r="BF81" s="49"/>
      <c r="BG81" s="49"/>
      <c r="BH81" s="49"/>
      <c r="BI81" s="49"/>
      <c r="BJ81" s="49"/>
      <c r="BK81" s="111" t="s">
        <v>1239</v>
      </c>
      <c r="BL81" s="111" t="s">
        <v>1239</v>
      </c>
      <c r="BM81" s="111" t="s">
        <v>1239</v>
      </c>
      <c r="BN81" s="111" t="s">
        <v>1239</v>
      </c>
      <c r="BO81" s="2"/>
      <c r="BP81" s="3"/>
      <c r="BQ81" s="3"/>
      <c r="BR81" s="3"/>
      <c r="BS81" s="3"/>
    </row>
    <row r="82" spans="1:71" ht="15">
      <c r="A82" s="65" t="s">
        <v>404</v>
      </c>
      <c r="B82" s="66"/>
      <c r="C82" s="66"/>
      <c r="D82" s="67">
        <v>150</v>
      </c>
      <c r="E82" s="69"/>
      <c r="F82" s="103" t="str">
        <f>HYPERLINK("https://yt3.ggpht.com/ytc/AKedOLSQl0zIh7zD5ttUNoq-i_SoS2wKAnyFRjky-EOj2g=s88-c-k-c0x00ffffff-no-rj")</f>
        <v>https://yt3.ggpht.com/ytc/AKedOLSQl0zIh7zD5ttUNoq-i_SoS2wKAnyFRjky-EOj2g=s88-c-k-c0x00ffffff-no-rj</v>
      </c>
      <c r="G82" s="66"/>
      <c r="H82" s="70" t="s">
        <v>917</v>
      </c>
      <c r="I82" s="71"/>
      <c r="J82" s="71" t="s">
        <v>159</v>
      </c>
      <c r="K82" s="70" t="s">
        <v>917</v>
      </c>
      <c r="L82" s="74">
        <v>1</v>
      </c>
      <c r="M82" s="75">
        <v>5859.28662109375</v>
      </c>
      <c r="N82" s="75">
        <v>1823.3470458984375</v>
      </c>
      <c r="O82" s="76"/>
      <c r="P82" s="77"/>
      <c r="Q82" s="77"/>
      <c r="R82" s="89"/>
      <c r="S82" s="49">
        <v>0</v>
      </c>
      <c r="T82" s="49">
        <v>1</v>
      </c>
      <c r="U82" s="50">
        <v>0</v>
      </c>
      <c r="V82" s="50">
        <v>0.014676</v>
      </c>
      <c r="W82" s="50">
        <v>0</v>
      </c>
      <c r="X82" s="50">
        <v>0.003956</v>
      </c>
      <c r="Y82" s="50">
        <v>0</v>
      </c>
      <c r="Z82" s="50">
        <v>0</v>
      </c>
      <c r="AA82" s="72">
        <v>82</v>
      </c>
      <c r="AB82" s="72"/>
      <c r="AC82" s="73"/>
      <c r="AD82" s="80" t="s">
        <v>917</v>
      </c>
      <c r="AE82" s="80"/>
      <c r="AF82" s="80"/>
      <c r="AG82" s="80"/>
      <c r="AH82" s="80"/>
      <c r="AI82" s="80"/>
      <c r="AJ82" s="87">
        <v>41191.68481481481</v>
      </c>
      <c r="AK82" s="85" t="str">
        <f>HYPERLINK("https://yt3.ggpht.com/ytc/AKedOLSQl0zIh7zD5ttUNoq-i_SoS2wKAnyFRjky-EOj2g=s88-c-k-c0x00ffffff-no-rj")</f>
        <v>https://yt3.ggpht.com/ytc/AKedOLSQl0zIh7zD5ttUNoq-i_SoS2wKAnyFRjky-EOj2g=s88-c-k-c0x00ffffff-no-rj</v>
      </c>
      <c r="AL82" s="80">
        <v>0</v>
      </c>
      <c r="AM82" s="80">
        <v>0</v>
      </c>
      <c r="AN82" s="80">
        <v>0</v>
      </c>
      <c r="AO82" s="80" t="b">
        <v>0</v>
      </c>
      <c r="AP82" s="80">
        <v>0</v>
      </c>
      <c r="AQ82" s="80"/>
      <c r="AR82" s="80"/>
      <c r="AS82" s="80" t="s">
        <v>1376</v>
      </c>
      <c r="AT82" s="85" t="str">
        <f>HYPERLINK("https://www.youtube.com/channel/UCXFOCi3E8fm4KWk7KA1v-FA")</f>
        <v>https://www.youtube.com/channel/UCXFOCi3E8fm4KWk7KA1v-FA</v>
      </c>
      <c r="AU82" s="80" t="str">
        <f>REPLACE(INDEX(GroupVertices[Group],MATCH(Vertices[[#This Row],[Vertex]],GroupVertices[Vertex],0)),1,1,"")</f>
        <v>10</v>
      </c>
      <c r="AV82" s="49">
        <v>2</v>
      </c>
      <c r="AW82" s="50">
        <v>16.666666666666668</v>
      </c>
      <c r="AX82" s="49">
        <v>0</v>
      </c>
      <c r="AY82" s="50">
        <v>0</v>
      </c>
      <c r="AZ82" s="49">
        <v>0</v>
      </c>
      <c r="BA82" s="50">
        <v>0</v>
      </c>
      <c r="BB82" s="49">
        <v>10</v>
      </c>
      <c r="BC82" s="50">
        <v>83.33333333333333</v>
      </c>
      <c r="BD82" s="49">
        <v>12</v>
      </c>
      <c r="BE82" s="49"/>
      <c r="BF82" s="49"/>
      <c r="BG82" s="49"/>
      <c r="BH82" s="49"/>
      <c r="BI82" s="49"/>
      <c r="BJ82" s="49"/>
      <c r="BK82" s="111" t="s">
        <v>2418</v>
      </c>
      <c r="BL82" s="111" t="s">
        <v>2418</v>
      </c>
      <c r="BM82" s="111" t="s">
        <v>2608</v>
      </c>
      <c r="BN82" s="111" t="s">
        <v>2608</v>
      </c>
      <c r="BO82" s="2"/>
      <c r="BP82" s="3"/>
      <c r="BQ82" s="3"/>
      <c r="BR82" s="3"/>
      <c r="BS82" s="3"/>
    </row>
    <row r="83" spans="1:71" ht="15">
      <c r="A83" s="65" t="s">
        <v>405</v>
      </c>
      <c r="B83" s="66"/>
      <c r="C83" s="66"/>
      <c r="D83" s="67">
        <v>150</v>
      </c>
      <c r="E83" s="69"/>
      <c r="F83" s="103" t="str">
        <f>HYPERLINK("https://yt3.ggpht.com/ytc/AKedOLTmyuY_q-2XVmEWC3oORvvIHwVzDlTfOcBhgmrFa1A=s88-c-k-c0x00ffffff-no-rj")</f>
        <v>https://yt3.ggpht.com/ytc/AKedOLTmyuY_q-2XVmEWC3oORvvIHwVzDlTfOcBhgmrFa1A=s88-c-k-c0x00ffffff-no-rj</v>
      </c>
      <c r="G83" s="66"/>
      <c r="H83" s="70" t="s">
        <v>918</v>
      </c>
      <c r="I83" s="71"/>
      <c r="J83" s="71" t="s">
        <v>159</v>
      </c>
      <c r="K83" s="70" t="s">
        <v>918</v>
      </c>
      <c r="L83" s="74">
        <v>1</v>
      </c>
      <c r="M83" s="75">
        <v>6602.927734375</v>
      </c>
      <c r="N83" s="75">
        <v>4591.40380859375</v>
      </c>
      <c r="O83" s="76"/>
      <c r="P83" s="77"/>
      <c r="Q83" s="77"/>
      <c r="R83" s="89"/>
      <c r="S83" s="49">
        <v>0</v>
      </c>
      <c r="T83" s="49">
        <v>1</v>
      </c>
      <c r="U83" s="50">
        <v>0</v>
      </c>
      <c r="V83" s="50">
        <v>0.014676</v>
      </c>
      <c r="W83" s="50">
        <v>0</v>
      </c>
      <c r="X83" s="50">
        <v>0.003956</v>
      </c>
      <c r="Y83" s="50">
        <v>0</v>
      </c>
      <c r="Z83" s="50">
        <v>0</v>
      </c>
      <c r="AA83" s="72">
        <v>83</v>
      </c>
      <c r="AB83" s="72"/>
      <c r="AC83" s="73"/>
      <c r="AD83" s="80" t="s">
        <v>918</v>
      </c>
      <c r="AE83" s="80"/>
      <c r="AF83" s="80"/>
      <c r="AG83" s="80"/>
      <c r="AH83" s="80"/>
      <c r="AI83" s="80"/>
      <c r="AJ83" s="87">
        <v>39383.98725694444</v>
      </c>
      <c r="AK83" s="85" t="str">
        <f>HYPERLINK("https://yt3.ggpht.com/ytc/AKedOLTmyuY_q-2XVmEWC3oORvvIHwVzDlTfOcBhgmrFa1A=s88-c-k-c0x00ffffff-no-rj")</f>
        <v>https://yt3.ggpht.com/ytc/AKedOLTmyuY_q-2XVmEWC3oORvvIHwVzDlTfOcBhgmrFa1A=s88-c-k-c0x00ffffff-no-rj</v>
      </c>
      <c r="AL83" s="80">
        <v>668</v>
      </c>
      <c r="AM83" s="80">
        <v>0</v>
      </c>
      <c r="AN83" s="80">
        <v>5</v>
      </c>
      <c r="AO83" s="80" t="b">
        <v>0</v>
      </c>
      <c r="AP83" s="80">
        <v>5</v>
      </c>
      <c r="AQ83" s="80"/>
      <c r="AR83" s="80"/>
      <c r="AS83" s="80" t="s">
        <v>1376</v>
      </c>
      <c r="AT83" s="85" t="str">
        <f>HYPERLINK("https://www.youtube.com/channel/UCywWdXzN6JZzrDM3WWtIcdA")</f>
        <v>https://www.youtube.com/channel/UCywWdXzN6JZzrDM3WWtIcdA</v>
      </c>
      <c r="AU83" s="80" t="str">
        <f>REPLACE(INDEX(GroupVertices[Group],MATCH(Vertices[[#This Row],[Vertex]],GroupVertices[Vertex],0)),1,1,"")</f>
        <v>10</v>
      </c>
      <c r="AV83" s="49">
        <v>1</v>
      </c>
      <c r="AW83" s="50">
        <v>5.555555555555555</v>
      </c>
      <c r="AX83" s="49">
        <v>0</v>
      </c>
      <c r="AY83" s="50">
        <v>0</v>
      </c>
      <c r="AZ83" s="49">
        <v>0</v>
      </c>
      <c r="BA83" s="50">
        <v>0</v>
      </c>
      <c r="BB83" s="49">
        <v>17</v>
      </c>
      <c r="BC83" s="50">
        <v>94.44444444444444</v>
      </c>
      <c r="BD83" s="49">
        <v>18</v>
      </c>
      <c r="BE83" s="49"/>
      <c r="BF83" s="49"/>
      <c r="BG83" s="49"/>
      <c r="BH83" s="49"/>
      <c r="BI83" s="49"/>
      <c r="BJ83" s="49"/>
      <c r="BK83" s="111" t="s">
        <v>2419</v>
      </c>
      <c r="BL83" s="111" t="s">
        <v>2419</v>
      </c>
      <c r="BM83" s="111" t="s">
        <v>2609</v>
      </c>
      <c r="BN83" s="111" t="s">
        <v>2609</v>
      </c>
      <c r="BO83" s="2"/>
      <c r="BP83" s="3"/>
      <c r="BQ83" s="3"/>
      <c r="BR83" s="3"/>
      <c r="BS83" s="3"/>
    </row>
    <row r="84" spans="1:71" ht="15">
      <c r="A84" s="65" t="s">
        <v>406</v>
      </c>
      <c r="B84" s="66"/>
      <c r="C84" s="66"/>
      <c r="D84" s="67">
        <v>150</v>
      </c>
      <c r="E84" s="69"/>
      <c r="F84" s="103" t="str">
        <f>HYPERLINK("https://yt3.ggpht.com/ytc/AKedOLR1oV5oQJ4Oq_q_cUEHWLVRChc3d3bF0i_ZuqPy=s88-c-k-c0x00ffffff-no-rj")</f>
        <v>https://yt3.ggpht.com/ytc/AKedOLR1oV5oQJ4Oq_q_cUEHWLVRChc3d3bF0i_ZuqPy=s88-c-k-c0x00ffffff-no-rj</v>
      </c>
      <c r="G84" s="66"/>
      <c r="H84" s="70" t="s">
        <v>919</v>
      </c>
      <c r="I84" s="71"/>
      <c r="J84" s="71" t="s">
        <v>159</v>
      </c>
      <c r="K84" s="70" t="s">
        <v>919</v>
      </c>
      <c r="L84" s="74">
        <v>1</v>
      </c>
      <c r="M84" s="75">
        <v>5901.0048828125</v>
      </c>
      <c r="N84" s="75">
        <v>4617.18505859375</v>
      </c>
      <c r="O84" s="76"/>
      <c r="P84" s="77"/>
      <c r="Q84" s="77"/>
      <c r="R84" s="89"/>
      <c r="S84" s="49">
        <v>0</v>
      </c>
      <c r="T84" s="49">
        <v>1</v>
      </c>
      <c r="U84" s="50">
        <v>0</v>
      </c>
      <c r="V84" s="50">
        <v>0.014676</v>
      </c>
      <c r="W84" s="50">
        <v>0</v>
      </c>
      <c r="X84" s="50">
        <v>0.003956</v>
      </c>
      <c r="Y84" s="50">
        <v>0</v>
      </c>
      <c r="Z84" s="50">
        <v>0</v>
      </c>
      <c r="AA84" s="72">
        <v>84</v>
      </c>
      <c r="AB84" s="72"/>
      <c r="AC84" s="73"/>
      <c r="AD84" s="80" t="s">
        <v>919</v>
      </c>
      <c r="AE84" s="80"/>
      <c r="AF84" s="80"/>
      <c r="AG84" s="80"/>
      <c r="AH84" s="80"/>
      <c r="AI84" s="80"/>
      <c r="AJ84" s="87">
        <v>42220.541238425925</v>
      </c>
      <c r="AK84" s="85" t="str">
        <f>HYPERLINK("https://yt3.ggpht.com/ytc/AKedOLR1oV5oQJ4Oq_q_cUEHWLVRChc3d3bF0i_ZuqPy=s88-c-k-c0x00ffffff-no-rj")</f>
        <v>https://yt3.ggpht.com/ytc/AKedOLR1oV5oQJ4Oq_q_cUEHWLVRChc3d3bF0i_ZuqPy=s88-c-k-c0x00ffffff-no-rj</v>
      </c>
      <c r="AL84" s="80">
        <v>8276</v>
      </c>
      <c r="AM84" s="80">
        <v>0</v>
      </c>
      <c r="AN84" s="80">
        <v>44</v>
      </c>
      <c r="AO84" s="80" t="b">
        <v>0</v>
      </c>
      <c r="AP84" s="80">
        <v>24</v>
      </c>
      <c r="AQ84" s="80"/>
      <c r="AR84" s="80"/>
      <c r="AS84" s="80" t="s">
        <v>1376</v>
      </c>
      <c r="AT84" s="85" t="str">
        <f>HYPERLINK("https://www.youtube.com/channel/UCIz82_qILaDCMBLYsqErOOw")</f>
        <v>https://www.youtube.com/channel/UCIz82_qILaDCMBLYsqErOOw</v>
      </c>
      <c r="AU84" s="80" t="str">
        <f>REPLACE(INDEX(GroupVertices[Group],MATCH(Vertices[[#This Row],[Vertex]],GroupVertices[Vertex],0)),1,1,"")</f>
        <v>10</v>
      </c>
      <c r="AV84" s="49">
        <v>1</v>
      </c>
      <c r="AW84" s="50">
        <v>4</v>
      </c>
      <c r="AX84" s="49">
        <v>0</v>
      </c>
      <c r="AY84" s="50">
        <v>0</v>
      </c>
      <c r="AZ84" s="49">
        <v>0</v>
      </c>
      <c r="BA84" s="50">
        <v>0</v>
      </c>
      <c r="BB84" s="49">
        <v>24</v>
      </c>
      <c r="BC84" s="50">
        <v>96</v>
      </c>
      <c r="BD84" s="49">
        <v>25</v>
      </c>
      <c r="BE84" s="49"/>
      <c r="BF84" s="49"/>
      <c r="BG84" s="49"/>
      <c r="BH84" s="49"/>
      <c r="BI84" s="49"/>
      <c r="BJ84" s="49"/>
      <c r="BK84" s="111" t="s">
        <v>2420</v>
      </c>
      <c r="BL84" s="111" t="s">
        <v>2420</v>
      </c>
      <c r="BM84" s="111" t="s">
        <v>2610</v>
      </c>
      <c r="BN84" s="111" t="s">
        <v>2610</v>
      </c>
      <c r="BO84" s="2"/>
      <c r="BP84" s="3"/>
      <c r="BQ84" s="3"/>
      <c r="BR84" s="3"/>
      <c r="BS84" s="3"/>
    </row>
    <row r="85" spans="1:71" ht="15">
      <c r="A85" s="65" t="s">
        <v>407</v>
      </c>
      <c r="B85" s="66"/>
      <c r="C85" s="66"/>
      <c r="D85" s="67">
        <v>150</v>
      </c>
      <c r="E85" s="69"/>
      <c r="F85" s="103" t="str">
        <f>HYPERLINK("https://yt3.ggpht.com/ytc/AKedOLSmPVhOLJkKYOw__UBqCcpRDHocWKX6gSd5BaYS9A=s88-c-k-c0x00ffffff-no-rj")</f>
        <v>https://yt3.ggpht.com/ytc/AKedOLSmPVhOLJkKYOw__UBqCcpRDHocWKX6gSd5BaYS9A=s88-c-k-c0x00ffffff-no-rj</v>
      </c>
      <c r="G85" s="66"/>
      <c r="H85" s="70" t="s">
        <v>920</v>
      </c>
      <c r="I85" s="71"/>
      <c r="J85" s="71" t="s">
        <v>159</v>
      </c>
      <c r="K85" s="70" t="s">
        <v>920</v>
      </c>
      <c r="L85" s="74">
        <v>1</v>
      </c>
      <c r="M85" s="75">
        <v>6013.47021484375</v>
      </c>
      <c r="N85" s="75">
        <v>2397.267822265625</v>
      </c>
      <c r="O85" s="76"/>
      <c r="P85" s="77"/>
      <c r="Q85" s="77"/>
      <c r="R85" s="89"/>
      <c r="S85" s="49">
        <v>0</v>
      </c>
      <c r="T85" s="49">
        <v>1</v>
      </c>
      <c r="U85" s="50">
        <v>0</v>
      </c>
      <c r="V85" s="50">
        <v>0.014676</v>
      </c>
      <c r="W85" s="50">
        <v>0</v>
      </c>
      <c r="X85" s="50">
        <v>0.003956</v>
      </c>
      <c r="Y85" s="50">
        <v>0</v>
      </c>
      <c r="Z85" s="50">
        <v>0</v>
      </c>
      <c r="AA85" s="72">
        <v>85</v>
      </c>
      <c r="AB85" s="72"/>
      <c r="AC85" s="73"/>
      <c r="AD85" s="80" t="s">
        <v>920</v>
      </c>
      <c r="AE85" s="80"/>
      <c r="AF85" s="80"/>
      <c r="AG85" s="80"/>
      <c r="AH85" s="80"/>
      <c r="AI85" s="80"/>
      <c r="AJ85" s="87">
        <v>43282.33015046296</v>
      </c>
      <c r="AK85" s="85" t="str">
        <f>HYPERLINK("https://yt3.ggpht.com/ytc/AKedOLSmPVhOLJkKYOw__UBqCcpRDHocWKX6gSd5BaYS9A=s88-c-k-c0x00ffffff-no-rj")</f>
        <v>https://yt3.ggpht.com/ytc/AKedOLSmPVhOLJkKYOw__UBqCcpRDHocWKX6gSd5BaYS9A=s88-c-k-c0x00ffffff-no-rj</v>
      </c>
      <c r="AL85" s="80">
        <v>0</v>
      </c>
      <c r="AM85" s="80">
        <v>0</v>
      </c>
      <c r="AN85" s="80">
        <v>0</v>
      </c>
      <c r="AO85" s="80" t="b">
        <v>0</v>
      </c>
      <c r="AP85" s="80">
        <v>0</v>
      </c>
      <c r="AQ85" s="80"/>
      <c r="AR85" s="80"/>
      <c r="AS85" s="80" t="s">
        <v>1376</v>
      </c>
      <c r="AT85" s="85" t="str">
        <f>HYPERLINK("https://www.youtube.com/channel/UC1G7AZFqSOf2CIZBzfBNmVQ")</f>
        <v>https://www.youtube.com/channel/UC1G7AZFqSOf2CIZBzfBNmVQ</v>
      </c>
      <c r="AU85" s="80" t="str">
        <f>REPLACE(INDEX(GroupVertices[Group],MATCH(Vertices[[#This Row],[Vertex]],GroupVertices[Vertex],0)),1,1,"")</f>
        <v>10</v>
      </c>
      <c r="AV85" s="49">
        <v>1</v>
      </c>
      <c r="AW85" s="50">
        <v>1.4705882352941178</v>
      </c>
      <c r="AX85" s="49">
        <v>0</v>
      </c>
      <c r="AY85" s="50">
        <v>0</v>
      </c>
      <c r="AZ85" s="49">
        <v>0</v>
      </c>
      <c r="BA85" s="50">
        <v>0</v>
      </c>
      <c r="BB85" s="49">
        <v>67</v>
      </c>
      <c r="BC85" s="50">
        <v>98.52941176470588</v>
      </c>
      <c r="BD85" s="49">
        <v>68</v>
      </c>
      <c r="BE85" s="49" t="s">
        <v>2166</v>
      </c>
      <c r="BF85" s="49" t="s">
        <v>2166</v>
      </c>
      <c r="BG85" s="49" t="s">
        <v>2174</v>
      </c>
      <c r="BH85" s="49" t="s">
        <v>2174</v>
      </c>
      <c r="BI85" s="49"/>
      <c r="BJ85" s="49"/>
      <c r="BK85" s="111" t="s">
        <v>2421</v>
      </c>
      <c r="BL85" s="111" t="s">
        <v>2421</v>
      </c>
      <c r="BM85" s="111" t="s">
        <v>2611</v>
      </c>
      <c r="BN85" s="111" t="s">
        <v>2611</v>
      </c>
      <c r="BO85" s="2"/>
      <c r="BP85" s="3"/>
      <c r="BQ85" s="3"/>
      <c r="BR85" s="3"/>
      <c r="BS85" s="3"/>
    </row>
    <row r="86" spans="1:71" ht="15">
      <c r="A86" s="65" t="s">
        <v>408</v>
      </c>
      <c r="B86" s="66"/>
      <c r="C86" s="66"/>
      <c r="D86" s="67">
        <v>150</v>
      </c>
      <c r="E86" s="69"/>
      <c r="F86" s="103" t="str">
        <f>HYPERLINK("https://yt3.ggpht.com/ytc/AKedOLQwkXG1iUvZ7cM73V8jDfJ-bbYW2V3bBEgFa5-Qzg=s88-c-k-c0x00ffffff-no-rj")</f>
        <v>https://yt3.ggpht.com/ytc/AKedOLQwkXG1iUvZ7cM73V8jDfJ-bbYW2V3bBEgFa5-Qzg=s88-c-k-c0x00ffffff-no-rj</v>
      </c>
      <c r="G86" s="66"/>
      <c r="H86" s="70" t="s">
        <v>921</v>
      </c>
      <c r="I86" s="71"/>
      <c r="J86" s="71" t="s">
        <v>159</v>
      </c>
      <c r="K86" s="70" t="s">
        <v>921</v>
      </c>
      <c r="L86" s="74">
        <v>1</v>
      </c>
      <c r="M86" s="75">
        <v>6782.76123046875</v>
      </c>
      <c r="N86" s="75">
        <v>2622.955078125</v>
      </c>
      <c r="O86" s="76"/>
      <c r="P86" s="77"/>
      <c r="Q86" s="77"/>
      <c r="R86" s="89"/>
      <c r="S86" s="49">
        <v>0</v>
      </c>
      <c r="T86" s="49">
        <v>1</v>
      </c>
      <c r="U86" s="50">
        <v>0</v>
      </c>
      <c r="V86" s="50">
        <v>0.014676</v>
      </c>
      <c r="W86" s="50">
        <v>0</v>
      </c>
      <c r="X86" s="50">
        <v>0.003956</v>
      </c>
      <c r="Y86" s="50">
        <v>0</v>
      </c>
      <c r="Z86" s="50">
        <v>0</v>
      </c>
      <c r="AA86" s="72">
        <v>86</v>
      </c>
      <c r="AB86" s="72"/>
      <c r="AC86" s="73"/>
      <c r="AD86" s="80" t="s">
        <v>921</v>
      </c>
      <c r="AE86" s="80"/>
      <c r="AF86" s="80"/>
      <c r="AG86" s="80"/>
      <c r="AH86" s="80"/>
      <c r="AI86" s="80"/>
      <c r="AJ86" s="87">
        <v>41486.79703703704</v>
      </c>
      <c r="AK86" s="85" t="str">
        <f>HYPERLINK("https://yt3.ggpht.com/ytc/AKedOLQwkXG1iUvZ7cM73V8jDfJ-bbYW2V3bBEgFa5-Qzg=s88-c-k-c0x00ffffff-no-rj")</f>
        <v>https://yt3.ggpht.com/ytc/AKedOLQwkXG1iUvZ7cM73V8jDfJ-bbYW2V3bBEgFa5-Qzg=s88-c-k-c0x00ffffff-no-rj</v>
      </c>
      <c r="AL86" s="80">
        <v>0</v>
      </c>
      <c r="AM86" s="80">
        <v>0</v>
      </c>
      <c r="AN86" s="80">
        <v>0</v>
      </c>
      <c r="AO86" s="80" t="b">
        <v>0</v>
      </c>
      <c r="AP86" s="80">
        <v>0</v>
      </c>
      <c r="AQ86" s="80"/>
      <c r="AR86" s="80"/>
      <c r="AS86" s="80" t="s">
        <v>1376</v>
      </c>
      <c r="AT86" s="85" t="str">
        <f>HYPERLINK("https://www.youtube.com/channel/UChA9cIhy_R5-REFhn28MQOw")</f>
        <v>https://www.youtube.com/channel/UChA9cIhy_R5-REFhn28MQOw</v>
      </c>
      <c r="AU86" s="80" t="str">
        <f>REPLACE(INDEX(GroupVertices[Group],MATCH(Vertices[[#This Row],[Vertex]],GroupVertices[Vertex],0)),1,1,"")</f>
        <v>10</v>
      </c>
      <c r="AV86" s="49">
        <v>0</v>
      </c>
      <c r="AW86" s="50">
        <v>0</v>
      </c>
      <c r="AX86" s="49">
        <v>0</v>
      </c>
      <c r="AY86" s="50">
        <v>0</v>
      </c>
      <c r="AZ86" s="49">
        <v>0</v>
      </c>
      <c r="BA86" s="50">
        <v>0</v>
      </c>
      <c r="BB86" s="49">
        <v>31</v>
      </c>
      <c r="BC86" s="50">
        <v>100</v>
      </c>
      <c r="BD86" s="49">
        <v>31</v>
      </c>
      <c r="BE86" s="49"/>
      <c r="BF86" s="49"/>
      <c r="BG86" s="49"/>
      <c r="BH86" s="49"/>
      <c r="BI86" s="49"/>
      <c r="BJ86" s="49"/>
      <c r="BK86" s="111" t="s">
        <v>2422</v>
      </c>
      <c r="BL86" s="111" t="s">
        <v>2422</v>
      </c>
      <c r="BM86" s="111" t="s">
        <v>2612</v>
      </c>
      <c r="BN86" s="111" t="s">
        <v>2612</v>
      </c>
      <c r="BO86" s="2"/>
      <c r="BP86" s="3"/>
      <c r="BQ86" s="3"/>
      <c r="BR86" s="3"/>
      <c r="BS86" s="3"/>
    </row>
    <row r="87" spans="1:71" ht="15">
      <c r="A87" s="65" t="s">
        <v>409</v>
      </c>
      <c r="B87" s="66"/>
      <c r="C87" s="66"/>
      <c r="D87" s="67">
        <v>150</v>
      </c>
      <c r="E87" s="69"/>
      <c r="F87" s="103" t="str">
        <f>HYPERLINK("https://yt3.ggpht.com/ytc/AKedOLT51g2goIuDNqKyz9oyrKACIyLW5cqmjJcIDg=s88-c-k-c0x00ffffff-no-rj")</f>
        <v>https://yt3.ggpht.com/ytc/AKedOLT51g2goIuDNqKyz9oyrKACIyLW5cqmjJcIDg=s88-c-k-c0x00ffffff-no-rj</v>
      </c>
      <c r="G87" s="66"/>
      <c r="H87" s="70" t="s">
        <v>922</v>
      </c>
      <c r="I87" s="71"/>
      <c r="J87" s="71" t="s">
        <v>159</v>
      </c>
      <c r="K87" s="70" t="s">
        <v>922</v>
      </c>
      <c r="L87" s="74">
        <v>1</v>
      </c>
      <c r="M87" s="75">
        <v>7894.5302734375</v>
      </c>
      <c r="N87" s="75">
        <v>7337.283203125</v>
      </c>
      <c r="O87" s="76"/>
      <c r="P87" s="77"/>
      <c r="Q87" s="77"/>
      <c r="R87" s="89"/>
      <c r="S87" s="49">
        <v>0</v>
      </c>
      <c r="T87" s="49">
        <v>1</v>
      </c>
      <c r="U87" s="50">
        <v>0</v>
      </c>
      <c r="V87" s="50">
        <v>0.146896</v>
      </c>
      <c r="W87" s="50">
        <v>0.004722</v>
      </c>
      <c r="X87" s="50">
        <v>0.003897</v>
      </c>
      <c r="Y87" s="50">
        <v>0</v>
      </c>
      <c r="Z87" s="50">
        <v>0</v>
      </c>
      <c r="AA87" s="72">
        <v>87</v>
      </c>
      <c r="AB87" s="72"/>
      <c r="AC87" s="73"/>
      <c r="AD87" s="80" t="s">
        <v>922</v>
      </c>
      <c r="AE87" s="80"/>
      <c r="AF87" s="80"/>
      <c r="AG87" s="80"/>
      <c r="AH87" s="80"/>
      <c r="AI87" s="80"/>
      <c r="AJ87" s="87">
        <v>39570.375601851854</v>
      </c>
      <c r="AK87" s="85" t="str">
        <f>HYPERLINK("https://yt3.ggpht.com/ytc/AKedOLT51g2goIuDNqKyz9oyrKACIyLW5cqmjJcIDg=s88-c-k-c0x00ffffff-no-rj")</f>
        <v>https://yt3.ggpht.com/ytc/AKedOLT51g2goIuDNqKyz9oyrKACIyLW5cqmjJcIDg=s88-c-k-c0x00ffffff-no-rj</v>
      </c>
      <c r="AL87" s="80">
        <v>128</v>
      </c>
      <c r="AM87" s="80">
        <v>0</v>
      </c>
      <c r="AN87" s="80">
        <v>0</v>
      </c>
      <c r="AO87" s="80" t="b">
        <v>1</v>
      </c>
      <c r="AP87" s="80">
        <v>2</v>
      </c>
      <c r="AQ87" s="80"/>
      <c r="AR87" s="80"/>
      <c r="AS87" s="80" t="s">
        <v>1376</v>
      </c>
      <c r="AT87" s="85" t="str">
        <f>HYPERLINK("https://www.youtube.com/channel/UCWmEXXyyg4CeL3TS4ba8iUg")</f>
        <v>https://www.youtube.com/channel/UCWmEXXyyg4CeL3TS4ba8iUg</v>
      </c>
      <c r="AU87" s="80" t="str">
        <f>REPLACE(INDEX(GroupVertices[Group],MATCH(Vertices[[#This Row],[Vertex]],GroupVertices[Vertex],0)),1,1,"")</f>
        <v>3</v>
      </c>
      <c r="AV87" s="49">
        <v>2</v>
      </c>
      <c r="AW87" s="50">
        <v>28.571428571428573</v>
      </c>
      <c r="AX87" s="49">
        <v>0</v>
      </c>
      <c r="AY87" s="50">
        <v>0</v>
      </c>
      <c r="AZ87" s="49">
        <v>0</v>
      </c>
      <c r="BA87" s="50">
        <v>0</v>
      </c>
      <c r="BB87" s="49">
        <v>5</v>
      </c>
      <c r="BC87" s="50">
        <v>71.42857142857143</v>
      </c>
      <c r="BD87" s="49">
        <v>7</v>
      </c>
      <c r="BE87" s="49"/>
      <c r="BF87" s="49"/>
      <c r="BG87" s="49"/>
      <c r="BH87" s="49"/>
      <c r="BI87" s="49"/>
      <c r="BJ87" s="49"/>
      <c r="BK87" s="111" t="s">
        <v>2423</v>
      </c>
      <c r="BL87" s="111" t="s">
        <v>2423</v>
      </c>
      <c r="BM87" s="111" t="s">
        <v>2613</v>
      </c>
      <c r="BN87" s="111" t="s">
        <v>2613</v>
      </c>
      <c r="BO87" s="2"/>
      <c r="BP87" s="3"/>
      <c r="BQ87" s="3"/>
      <c r="BR87" s="3"/>
      <c r="BS87" s="3"/>
    </row>
    <row r="88" spans="1:71" ht="15">
      <c r="A88" s="65" t="s">
        <v>561</v>
      </c>
      <c r="B88" s="66"/>
      <c r="C88" s="66"/>
      <c r="D88" s="67">
        <v>1000</v>
      </c>
      <c r="E88" s="69"/>
      <c r="F88" s="103" t="str">
        <f>HYPERLINK("https://yt3.ggpht.com/ytc/AKedOLRocvkX7Ncx4qJPKiqJwvXpMkbvQu3JcQJp4w=s88-c-k-c0x00ffffff-no-rj")</f>
        <v>https://yt3.ggpht.com/ytc/AKedOLRocvkX7Ncx4qJPKiqJwvXpMkbvQu3JcQJp4w=s88-c-k-c0x00ffffff-no-rj</v>
      </c>
      <c r="G88" s="66"/>
      <c r="H88" s="70" t="s">
        <v>1264</v>
      </c>
      <c r="I88" s="71"/>
      <c r="J88" s="71" t="s">
        <v>75</v>
      </c>
      <c r="K88" s="70" t="s">
        <v>1264</v>
      </c>
      <c r="L88" s="74">
        <v>4437.691374299821</v>
      </c>
      <c r="M88" s="75">
        <v>7393.31005859375</v>
      </c>
      <c r="N88" s="75">
        <v>8069.67138671875</v>
      </c>
      <c r="O88" s="76"/>
      <c r="P88" s="77"/>
      <c r="Q88" s="77"/>
      <c r="R88" s="89"/>
      <c r="S88" s="49">
        <v>17</v>
      </c>
      <c r="T88" s="49">
        <v>1</v>
      </c>
      <c r="U88" s="50">
        <v>6152.333333</v>
      </c>
      <c r="V88" s="50">
        <v>0.196377</v>
      </c>
      <c r="W88" s="50">
        <v>0.042064</v>
      </c>
      <c r="X88" s="50">
        <v>0.011557</v>
      </c>
      <c r="Y88" s="50">
        <v>0</v>
      </c>
      <c r="Z88" s="50">
        <v>0</v>
      </c>
      <c r="AA88" s="72">
        <v>88</v>
      </c>
      <c r="AB88" s="72"/>
      <c r="AC88" s="73"/>
      <c r="AD88" s="80" t="s">
        <v>1264</v>
      </c>
      <c r="AE88" s="80"/>
      <c r="AF88" s="80"/>
      <c r="AG88" s="80"/>
      <c r="AH88" s="80"/>
      <c r="AI88" s="80"/>
      <c r="AJ88" s="87">
        <v>41005.4305787037</v>
      </c>
      <c r="AK88" s="85" t="str">
        <f>HYPERLINK("https://yt3.ggpht.com/ytc/AKedOLRocvkX7Ncx4qJPKiqJwvXpMkbvQu3JcQJp4w=s88-c-k-c0x00ffffff-no-rj")</f>
        <v>https://yt3.ggpht.com/ytc/AKedOLRocvkX7Ncx4qJPKiqJwvXpMkbvQu3JcQJp4w=s88-c-k-c0x00ffffff-no-rj</v>
      </c>
      <c r="AL88" s="80">
        <v>145380</v>
      </c>
      <c r="AM88" s="80">
        <v>0</v>
      </c>
      <c r="AN88" s="80">
        <v>208</v>
      </c>
      <c r="AO88" s="80" t="b">
        <v>0</v>
      </c>
      <c r="AP88" s="80">
        <v>3</v>
      </c>
      <c r="AQ88" s="80"/>
      <c r="AR88" s="80"/>
      <c r="AS88" s="80" t="s">
        <v>1376</v>
      </c>
      <c r="AT88" s="85" t="str">
        <f>HYPERLINK("https://www.youtube.com/channel/UCfpw3xq_g1xpdwlyq11atZQ")</f>
        <v>https://www.youtube.com/channel/UCfpw3xq_g1xpdwlyq11atZQ</v>
      </c>
      <c r="AU88" s="80" t="str">
        <f>REPLACE(INDEX(GroupVertices[Group],MATCH(Vertices[[#This Row],[Vertex]],GroupVertices[Vertex],0)),1,1,"")</f>
        <v>3</v>
      </c>
      <c r="AV88" s="49"/>
      <c r="AW88" s="50"/>
      <c r="AX88" s="49"/>
      <c r="AY88" s="50"/>
      <c r="AZ88" s="49"/>
      <c r="BA88" s="50"/>
      <c r="BB88" s="49"/>
      <c r="BC88" s="50"/>
      <c r="BD88" s="49"/>
      <c r="BE88" s="49"/>
      <c r="BF88" s="49"/>
      <c r="BG88" s="49"/>
      <c r="BH88" s="49"/>
      <c r="BI88" s="49"/>
      <c r="BJ88" s="49"/>
      <c r="BK88" s="111" t="s">
        <v>1239</v>
      </c>
      <c r="BL88" s="111" t="s">
        <v>1239</v>
      </c>
      <c r="BM88" s="111" t="s">
        <v>1239</v>
      </c>
      <c r="BN88" s="111" t="s">
        <v>1239</v>
      </c>
      <c r="BO88" s="2"/>
      <c r="BP88" s="3"/>
      <c r="BQ88" s="3"/>
      <c r="BR88" s="3"/>
      <c r="BS88" s="3"/>
    </row>
    <row r="89" spans="1:71" ht="15">
      <c r="A89" s="65" t="s">
        <v>410</v>
      </c>
      <c r="B89" s="66"/>
      <c r="C89" s="66"/>
      <c r="D89" s="67">
        <v>150</v>
      </c>
      <c r="E89" s="69"/>
      <c r="F89" s="103" t="str">
        <f>HYPERLINK("https://yt3.ggpht.com/ytc/AKedOLTKBz5CumnuUCPx2h7fHSyztIbUIW4Y86V8UA=s88-c-k-c0x00ffffff-no-rj")</f>
        <v>https://yt3.ggpht.com/ytc/AKedOLTKBz5CumnuUCPx2h7fHSyztIbUIW4Y86V8UA=s88-c-k-c0x00ffffff-no-rj</v>
      </c>
      <c r="G89" s="66"/>
      <c r="H89" s="70" t="s">
        <v>923</v>
      </c>
      <c r="I89" s="71"/>
      <c r="J89" s="71" t="s">
        <v>159</v>
      </c>
      <c r="K89" s="70" t="s">
        <v>923</v>
      </c>
      <c r="L89" s="74">
        <v>1</v>
      </c>
      <c r="M89" s="75">
        <v>7331.3974609375</v>
      </c>
      <c r="N89" s="75">
        <v>6543.46337890625</v>
      </c>
      <c r="O89" s="76"/>
      <c r="P89" s="77"/>
      <c r="Q89" s="77"/>
      <c r="R89" s="89"/>
      <c r="S89" s="49">
        <v>0</v>
      </c>
      <c r="T89" s="49">
        <v>1</v>
      </c>
      <c r="U89" s="50">
        <v>0</v>
      </c>
      <c r="V89" s="50">
        <v>0.146896</v>
      </c>
      <c r="W89" s="50">
        <v>0.004722</v>
      </c>
      <c r="X89" s="50">
        <v>0.003897</v>
      </c>
      <c r="Y89" s="50">
        <v>0</v>
      </c>
      <c r="Z89" s="50">
        <v>0</v>
      </c>
      <c r="AA89" s="72">
        <v>89</v>
      </c>
      <c r="AB89" s="72"/>
      <c r="AC89" s="73"/>
      <c r="AD89" s="80" t="s">
        <v>923</v>
      </c>
      <c r="AE89" s="80"/>
      <c r="AF89" s="80"/>
      <c r="AG89" s="80"/>
      <c r="AH89" s="80"/>
      <c r="AI89" s="80"/>
      <c r="AJ89" s="87">
        <v>40917.71365740741</v>
      </c>
      <c r="AK89" s="85" t="str">
        <f>HYPERLINK("https://yt3.ggpht.com/ytc/AKedOLTKBz5CumnuUCPx2h7fHSyztIbUIW4Y86V8UA=s88-c-k-c0x00ffffff-no-rj")</f>
        <v>https://yt3.ggpht.com/ytc/AKedOLTKBz5CumnuUCPx2h7fHSyztIbUIW4Y86V8UA=s88-c-k-c0x00ffffff-no-rj</v>
      </c>
      <c r="AL89" s="80">
        <v>84</v>
      </c>
      <c r="AM89" s="80">
        <v>0</v>
      </c>
      <c r="AN89" s="80">
        <v>0</v>
      </c>
      <c r="AO89" s="80" t="b">
        <v>0</v>
      </c>
      <c r="AP89" s="80">
        <v>2</v>
      </c>
      <c r="AQ89" s="80"/>
      <c r="AR89" s="80"/>
      <c r="AS89" s="80" t="s">
        <v>1376</v>
      </c>
      <c r="AT89" s="85" t="str">
        <f>HYPERLINK("https://www.youtube.com/channel/UChlTB5NW6iUzi67TzRxRcTg")</f>
        <v>https://www.youtube.com/channel/UChlTB5NW6iUzi67TzRxRcTg</v>
      </c>
      <c r="AU89" s="80" t="str">
        <f>REPLACE(INDEX(GroupVertices[Group],MATCH(Vertices[[#This Row],[Vertex]],GroupVertices[Vertex],0)),1,1,"")</f>
        <v>3</v>
      </c>
      <c r="AV89" s="49">
        <v>1</v>
      </c>
      <c r="AW89" s="50">
        <v>25</v>
      </c>
      <c r="AX89" s="49">
        <v>0</v>
      </c>
      <c r="AY89" s="50">
        <v>0</v>
      </c>
      <c r="AZ89" s="49">
        <v>0</v>
      </c>
      <c r="BA89" s="50">
        <v>0</v>
      </c>
      <c r="BB89" s="49">
        <v>3</v>
      </c>
      <c r="BC89" s="50">
        <v>75</v>
      </c>
      <c r="BD89" s="49">
        <v>4</v>
      </c>
      <c r="BE89" s="49"/>
      <c r="BF89" s="49"/>
      <c r="BG89" s="49"/>
      <c r="BH89" s="49"/>
      <c r="BI89" s="49"/>
      <c r="BJ89" s="49"/>
      <c r="BK89" s="111" t="s">
        <v>2424</v>
      </c>
      <c r="BL89" s="111" t="s">
        <v>2424</v>
      </c>
      <c r="BM89" s="111" t="s">
        <v>2614</v>
      </c>
      <c r="BN89" s="111" t="s">
        <v>2614</v>
      </c>
      <c r="BO89" s="2"/>
      <c r="BP89" s="3"/>
      <c r="BQ89" s="3"/>
      <c r="BR89" s="3"/>
      <c r="BS89" s="3"/>
    </row>
    <row r="90" spans="1:71" ht="15">
      <c r="A90" s="65" t="s">
        <v>411</v>
      </c>
      <c r="B90" s="66"/>
      <c r="C90" s="66"/>
      <c r="D90" s="67">
        <v>150</v>
      </c>
      <c r="E90" s="69"/>
      <c r="F90" s="103" t="str">
        <f>HYPERLINK("https://yt3.ggpht.com/ytc/AKedOLRx63Tdptz7aVZldm-Qt3Cqg51asdZVm2r7tN2pVQ=s88-c-k-c0x00ffffff-no-rj")</f>
        <v>https://yt3.ggpht.com/ytc/AKedOLRx63Tdptz7aVZldm-Qt3Cqg51asdZVm2r7tN2pVQ=s88-c-k-c0x00ffffff-no-rj</v>
      </c>
      <c r="G90" s="66"/>
      <c r="H90" s="70" t="s">
        <v>924</v>
      </c>
      <c r="I90" s="71"/>
      <c r="J90" s="71" t="s">
        <v>159</v>
      </c>
      <c r="K90" s="70" t="s">
        <v>924</v>
      </c>
      <c r="L90" s="74">
        <v>1</v>
      </c>
      <c r="M90" s="75">
        <v>7017.97314453125</v>
      </c>
      <c r="N90" s="75">
        <v>7946.01904296875</v>
      </c>
      <c r="O90" s="76"/>
      <c r="P90" s="77"/>
      <c r="Q90" s="77"/>
      <c r="R90" s="89"/>
      <c r="S90" s="49">
        <v>0</v>
      </c>
      <c r="T90" s="49">
        <v>1</v>
      </c>
      <c r="U90" s="50">
        <v>0</v>
      </c>
      <c r="V90" s="50">
        <v>0.146896</v>
      </c>
      <c r="W90" s="50">
        <v>0.004722</v>
      </c>
      <c r="X90" s="50">
        <v>0.003897</v>
      </c>
      <c r="Y90" s="50">
        <v>0</v>
      </c>
      <c r="Z90" s="50">
        <v>0</v>
      </c>
      <c r="AA90" s="72">
        <v>90</v>
      </c>
      <c r="AB90" s="72"/>
      <c r="AC90" s="73"/>
      <c r="AD90" s="80" t="s">
        <v>924</v>
      </c>
      <c r="AE90" s="80"/>
      <c r="AF90" s="80"/>
      <c r="AG90" s="80"/>
      <c r="AH90" s="80"/>
      <c r="AI90" s="80"/>
      <c r="AJ90" s="87">
        <v>42714.99076388889</v>
      </c>
      <c r="AK90" s="85" t="str">
        <f>HYPERLINK("https://yt3.ggpht.com/ytc/AKedOLRx63Tdptz7aVZldm-Qt3Cqg51asdZVm2r7tN2pVQ=s88-c-k-c0x00ffffff-no-rj")</f>
        <v>https://yt3.ggpht.com/ytc/AKedOLRx63Tdptz7aVZldm-Qt3Cqg51asdZVm2r7tN2pVQ=s88-c-k-c0x00ffffff-no-rj</v>
      </c>
      <c r="AL90" s="80">
        <v>0</v>
      </c>
      <c r="AM90" s="80">
        <v>0</v>
      </c>
      <c r="AN90" s="80">
        <v>0</v>
      </c>
      <c r="AO90" s="80" t="b">
        <v>0</v>
      </c>
      <c r="AP90" s="80">
        <v>0</v>
      </c>
      <c r="AQ90" s="80"/>
      <c r="AR90" s="80"/>
      <c r="AS90" s="80" t="s">
        <v>1376</v>
      </c>
      <c r="AT90" s="85" t="str">
        <f>HYPERLINK("https://www.youtube.com/channel/UCEkBJ8bqPbMoZwqFrKmPqSA")</f>
        <v>https://www.youtube.com/channel/UCEkBJ8bqPbMoZwqFrKmPqSA</v>
      </c>
      <c r="AU90" s="80" t="str">
        <f>REPLACE(INDEX(GroupVertices[Group],MATCH(Vertices[[#This Row],[Vertex]],GroupVertices[Vertex],0)),1,1,"")</f>
        <v>3</v>
      </c>
      <c r="AV90" s="49">
        <v>2</v>
      </c>
      <c r="AW90" s="50">
        <v>22.22222222222222</v>
      </c>
      <c r="AX90" s="49">
        <v>0</v>
      </c>
      <c r="AY90" s="50">
        <v>0</v>
      </c>
      <c r="AZ90" s="49">
        <v>0</v>
      </c>
      <c r="BA90" s="50">
        <v>0</v>
      </c>
      <c r="BB90" s="49">
        <v>7</v>
      </c>
      <c r="BC90" s="50">
        <v>77.77777777777777</v>
      </c>
      <c r="BD90" s="49">
        <v>9</v>
      </c>
      <c r="BE90" s="49"/>
      <c r="BF90" s="49"/>
      <c r="BG90" s="49"/>
      <c r="BH90" s="49"/>
      <c r="BI90" s="49"/>
      <c r="BJ90" s="49"/>
      <c r="BK90" s="111" t="s">
        <v>2425</v>
      </c>
      <c r="BL90" s="111" t="s">
        <v>2425</v>
      </c>
      <c r="BM90" s="111" t="s">
        <v>2615</v>
      </c>
      <c r="BN90" s="111" t="s">
        <v>2615</v>
      </c>
      <c r="BO90" s="2"/>
      <c r="BP90" s="3"/>
      <c r="BQ90" s="3"/>
      <c r="BR90" s="3"/>
      <c r="BS90" s="3"/>
    </row>
    <row r="91" spans="1:71" ht="15">
      <c r="A91" s="65" t="s">
        <v>412</v>
      </c>
      <c r="B91" s="66"/>
      <c r="C91" s="66"/>
      <c r="D91" s="67">
        <v>150</v>
      </c>
      <c r="E91" s="69"/>
      <c r="F91" s="103" t="str">
        <f>HYPERLINK("https://yt3.ggpht.com/ytc/AKedOLT8-fNj_SdEWOeuUbbR8zySuQc2wDf6vy5bdqHG=s88-c-k-c0x00ffffff-no-rj")</f>
        <v>https://yt3.ggpht.com/ytc/AKedOLT8-fNj_SdEWOeuUbbR8zySuQc2wDf6vy5bdqHG=s88-c-k-c0x00ffffff-no-rj</v>
      </c>
      <c r="G91" s="66"/>
      <c r="H91" s="70" t="s">
        <v>925</v>
      </c>
      <c r="I91" s="71"/>
      <c r="J91" s="71" t="s">
        <v>159</v>
      </c>
      <c r="K91" s="70" t="s">
        <v>925</v>
      </c>
      <c r="L91" s="74">
        <v>1</v>
      </c>
      <c r="M91" s="75">
        <v>8340.94140625</v>
      </c>
      <c r="N91" s="75">
        <v>6855.80810546875</v>
      </c>
      <c r="O91" s="76"/>
      <c r="P91" s="77"/>
      <c r="Q91" s="77"/>
      <c r="R91" s="89"/>
      <c r="S91" s="49">
        <v>0</v>
      </c>
      <c r="T91" s="49">
        <v>1</v>
      </c>
      <c r="U91" s="50">
        <v>0</v>
      </c>
      <c r="V91" s="50">
        <v>0.016902</v>
      </c>
      <c r="W91" s="50">
        <v>0</v>
      </c>
      <c r="X91" s="50">
        <v>0.004137</v>
      </c>
      <c r="Y91" s="50">
        <v>0</v>
      </c>
      <c r="Z91" s="50">
        <v>0</v>
      </c>
      <c r="AA91" s="72">
        <v>91</v>
      </c>
      <c r="AB91" s="72"/>
      <c r="AC91" s="73"/>
      <c r="AD91" s="80" t="s">
        <v>925</v>
      </c>
      <c r="AE91" s="80"/>
      <c r="AF91" s="80"/>
      <c r="AG91" s="80"/>
      <c r="AH91" s="80"/>
      <c r="AI91" s="80"/>
      <c r="AJ91" s="87">
        <v>42673.65288194444</v>
      </c>
      <c r="AK91" s="85" t="str">
        <f>HYPERLINK("https://yt3.ggpht.com/ytc/AKedOLT8-fNj_SdEWOeuUbbR8zySuQc2wDf6vy5bdqHG=s88-c-k-c0x00ffffff-no-rj")</f>
        <v>https://yt3.ggpht.com/ytc/AKedOLT8-fNj_SdEWOeuUbbR8zySuQc2wDf6vy5bdqHG=s88-c-k-c0x00ffffff-no-rj</v>
      </c>
      <c r="AL91" s="80">
        <v>0</v>
      </c>
      <c r="AM91" s="80">
        <v>0</v>
      </c>
      <c r="AN91" s="80">
        <v>1</v>
      </c>
      <c r="AO91" s="80" t="b">
        <v>0</v>
      </c>
      <c r="AP91" s="80">
        <v>0</v>
      </c>
      <c r="AQ91" s="80"/>
      <c r="AR91" s="80"/>
      <c r="AS91" s="80" t="s">
        <v>1376</v>
      </c>
      <c r="AT91" s="85" t="str">
        <f>HYPERLINK("https://www.youtube.com/channel/UCVoF08vw5_TGZoAo2JKf0MA")</f>
        <v>https://www.youtube.com/channel/UCVoF08vw5_TGZoAo2JKf0MA</v>
      </c>
      <c r="AU91" s="80" t="str">
        <f>REPLACE(INDEX(GroupVertices[Group],MATCH(Vertices[[#This Row],[Vertex]],GroupVertices[Vertex],0)),1,1,"")</f>
        <v>5</v>
      </c>
      <c r="AV91" s="49">
        <v>0</v>
      </c>
      <c r="AW91" s="50">
        <v>0</v>
      </c>
      <c r="AX91" s="49">
        <v>0</v>
      </c>
      <c r="AY91" s="50">
        <v>0</v>
      </c>
      <c r="AZ91" s="49">
        <v>0</v>
      </c>
      <c r="BA91" s="50">
        <v>0</v>
      </c>
      <c r="BB91" s="49">
        <v>25</v>
      </c>
      <c r="BC91" s="50">
        <v>100</v>
      </c>
      <c r="BD91" s="49">
        <v>25</v>
      </c>
      <c r="BE91" s="49"/>
      <c r="BF91" s="49"/>
      <c r="BG91" s="49"/>
      <c r="BH91" s="49"/>
      <c r="BI91" s="49"/>
      <c r="BJ91" s="49"/>
      <c r="BK91" s="111" t="s">
        <v>2426</v>
      </c>
      <c r="BL91" s="111" t="s">
        <v>2426</v>
      </c>
      <c r="BM91" s="111" t="s">
        <v>2616</v>
      </c>
      <c r="BN91" s="111" t="s">
        <v>2616</v>
      </c>
      <c r="BO91" s="2"/>
      <c r="BP91" s="3"/>
      <c r="BQ91" s="3"/>
      <c r="BR91" s="3"/>
      <c r="BS91" s="3"/>
    </row>
    <row r="92" spans="1:71" ht="15">
      <c r="A92" s="65" t="s">
        <v>413</v>
      </c>
      <c r="B92" s="66"/>
      <c r="C92" s="66"/>
      <c r="D92" s="67">
        <v>171.16858237547893</v>
      </c>
      <c r="E92" s="69"/>
      <c r="F92" s="103" t="str">
        <f>HYPERLINK("https://yt3.ggpht.com/TcikFK1JqjO2SGbdW3fVJOM-QCP6v4dO3EH87uLTYsKxXo-6QSsUONNapHPXLLNe6c6ELz7fGTM=s88-c-k-c0x00ffffff-no-rj")</f>
        <v>https://yt3.ggpht.com/TcikFK1JqjO2SGbdW3fVJOM-QCP6v4dO3EH87uLTYsKxXo-6QSsUONNapHPXLLNe6c6ELz7fGTM=s88-c-k-c0x00ffffff-no-rj</v>
      </c>
      <c r="G92" s="66"/>
      <c r="H92" s="70" t="s">
        <v>926</v>
      </c>
      <c r="I92" s="71"/>
      <c r="J92" s="71" t="s">
        <v>75</v>
      </c>
      <c r="K92" s="70" t="s">
        <v>926</v>
      </c>
      <c r="L92" s="74">
        <v>19.74963034155798</v>
      </c>
      <c r="M92" s="75">
        <v>8576.673828125</v>
      </c>
      <c r="N92" s="75">
        <v>7386.2431640625</v>
      </c>
      <c r="O92" s="76"/>
      <c r="P92" s="77"/>
      <c r="Q92" s="77"/>
      <c r="R92" s="89"/>
      <c r="S92" s="49">
        <v>1</v>
      </c>
      <c r="T92" s="49">
        <v>1</v>
      </c>
      <c r="U92" s="50">
        <v>26</v>
      </c>
      <c r="V92" s="50">
        <v>0.022537</v>
      </c>
      <c r="W92" s="50">
        <v>0</v>
      </c>
      <c r="X92" s="50">
        <v>0.004558</v>
      </c>
      <c r="Y92" s="50">
        <v>0</v>
      </c>
      <c r="Z92" s="50">
        <v>0</v>
      </c>
      <c r="AA92" s="72">
        <v>92</v>
      </c>
      <c r="AB92" s="72"/>
      <c r="AC92" s="73"/>
      <c r="AD92" s="80" t="s">
        <v>926</v>
      </c>
      <c r="AE92" s="80"/>
      <c r="AF92" s="80"/>
      <c r="AG92" s="80"/>
      <c r="AH92" s="80"/>
      <c r="AI92" s="80"/>
      <c r="AJ92" s="87">
        <v>42598.66537037037</v>
      </c>
      <c r="AK92" s="85" t="str">
        <f>HYPERLINK("https://yt3.ggpht.com/TcikFK1JqjO2SGbdW3fVJOM-QCP6v4dO3EH87uLTYsKxXo-6QSsUONNapHPXLLNe6c6ELz7fGTM=s88-c-k-c0x00ffffff-no-rj")</f>
        <v>https://yt3.ggpht.com/TcikFK1JqjO2SGbdW3fVJOM-QCP6v4dO3EH87uLTYsKxXo-6QSsUONNapHPXLLNe6c6ELz7fGTM=s88-c-k-c0x00ffffff-no-rj</v>
      </c>
      <c r="AL92" s="80">
        <v>90</v>
      </c>
      <c r="AM92" s="80">
        <v>0</v>
      </c>
      <c r="AN92" s="80">
        <v>19</v>
      </c>
      <c r="AO92" s="80" t="b">
        <v>0</v>
      </c>
      <c r="AP92" s="80">
        <v>1</v>
      </c>
      <c r="AQ92" s="80"/>
      <c r="AR92" s="80"/>
      <c r="AS92" s="80" t="s">
        <v>1376</v>
      </c>
      <c r="AT92" s="85" t="str">
        <f>HYPERLINK("https://www.youtube.com/channel/UCVJfW61X3yS0PH-25gIjpNA")</f>
        <v>https://www.youtube.com/channel/UCVJfW61X3yS0PH-25gIjpNA</v>
      </c>
      <c r="AU92" s="80" t="str">
        <f>REPLACE(INDEX(GroupVertices[Group],MATCH(Vertices[[#This Row],[Vertex]],GroupVertices[Vertex],0)),1,1,"")</f>
        <v>5</v>
      </c>
      <c r="AV92" s="49">
        <v>0</v>
      </c>
      <c r="AW92" s="50">
        <v>0</v>
      </c>
      <c r="AX92" s="49">
        <v>0</v>
      </c>
      <c r="AY92" s="50">
        <v>0</v>
      </c>
      <c r="AZ92" s="49">
        <v>0</v>
      </c>
      <c r="BA92" s="50">
        <v>0</v>
      </c>
      <c r="BB92" s="49">
        <v>15</v>
      </c>
      <c r="BC92" s="50">
        <v>100</v>
      </c>
      <c r="BD92" s="49">
        <v>15</v>
      </c>
      <c r="BE92" s="49"/>
      <c r="BF92" s="49"/>
      <c r="BG92" s="49"/>
      <c r="BH92" s="49"/>
      <c r="BI92" s="49"/>
      <c r="BJ92" s="49"/>
      <c r="BK92" s="111" t="s">
        <v>2427</v>
      </c>
      <c r="BL92" s="111" t="s">
        <v>2427</v>
      </c>
      <c r="BM92" s="111" t="s">
        <v>2617</v>
      </c>
      <c r="BN92" s="111" t="s">
        <v>2617</v>
      </c>
      <c r="BO92" s="2"/>
      <c r="BP92" s="3"/>
      <c r="BQ92" s="3"/>
      <c r="BR92" s="3"/>
      <c r="BS92" s="3"/>
    </row>
    <row r="93" spans="1:71" ht="15">
      <c r="A93" s="65" t="s">
        <v>551</v>
      </c>
      <c r="B93" s="66"/>
      <c r="C93" s="66"/>
      <c r="D93" s="67">
        <v>265.6130268199234</v>
      </c>
      <c r="E93" s="69"/>
      <c r="F93" s="103" t="str">
        <f>HYPERLINK("https://yt3.ggpht.com/ytc/AKedOLSQgKX3eGV9yFEmw2c08Cmdw-0kYZA0SMzP1Bev=s88-c-k-c0x00ffffff-no-rj")</f>
        <v>https://yt3.ggpht.com/ytc/AKedOLSQgKX3eGV9yFEmw2c08Cmdw-0kYZA0SMzP1Bev=s88-c-k-c0x00ffffff-no-rj</v>
      </c>
      <c r="G93" s="66"/>
      <c r="H93" s="70" t="s">
        <v>1265</v>
      </c>
      <c r="I93" s="71"/>
      <c r="J93" s="71" t="s">
        <v>75</v>
      </c>
      <c r="K93" s="70" t="s">
        <v>1265</v>
      </c>
      <c r="L93" s="74">
        <v>103.40182725004745</v>
      </c>
      <c r="M93" s="75">
        <v>8856.939453125</v>
      </c>
      <c r="N93" s="75">
        <v>7896.44873046875</v>
      </c>
      <c r="O93" s="76"/>
      <c r="P93" s="77"/>
      <c r="Q93" s="77"/>
      <c r="R93" s="89"/>
      <c r="S93" s="49">
        <v>6</v>
      </c>
      <c r="T93" s="49">
        <v>1</v>
      </c>
      <c r="U93" s="50">
        <v>142</v>
      </c>
      <c r="V93" s="50">
        <v>0.03139</v>
      </c>
      <c r="W93" s="50">
        <v>0</v>
      </c>
      <c r="X93" s="50">
        <v>0.005721</v>
      </c>
      <c r="Y93" s="50">
        <v>0</v>
      </c>
      <c r="Z93" s="50">
        <v>0</v>
      </c>
      <c r="AA93" s="72">
        <v>93</v>
      </c>
      <c r="AB93" s="72"/>
      <c r="AC93" s="73"/>
      <c r="AD93" s="80" t="s">
        <v>1265</v>
      </c>
      <c r="AE93" s="80"/>
      <c r="AF93" s="80"/>
      <c r="AG93" s="80"/>
      <c r="AH93" s="80"/>
      <c r="AI93" s="80"/>
      <c r="AJ93" s="87">
        <v>42623.81214120371</v>
      </c>
      <c r="AK93" s="85" t="str">
        <f>HYPERLINK("https://yt3.ggpht.com/ytc/AKedOLSQgKX3eGV9yFEmw2c08Cmdw-0kYZA0SMzP1Bev=s88-c-k-c0x00ffffff-no-rj")</f>
        <v>https://yt3.ggpht.com/ytc/AKedOLSQgKX3eGV9yFEmw2c08Cmdw-0kYZA0SMzP1Bev=s88-c-k-c0x00ffffff-no-rj</v>
      </c>
      <c r="AL93" s="80">
        <v>39393</v>
      </c>
      <c r="AM93" s="80">
        <v>0</v>
      </c>
      <c r="AN93" s="80">
        <v>504</v>
      </c>
      <c r="AO93" s="80" t="b">
        <v>0</v>
      </c>
      <c r="AP93" s="80">
        <v>8</v>
      </c>
      <c r="AQ93" s="80"/>
      <c r="AR93" s="80"/>
      <c r="AS93" s="80" t="s">
        <v>1376</v>
      </c>
      <c r="AT93" s="85" t="str">
        <f>HYPERLINK("https://www.youtube.com/channel/UCcyRyUvk-VLYGh8srnf9E2Q")</f>
        <v>https://www.youtube.com/channel/UCcyRyUvk-VLYGh8srnf9E2Q</v>
      </c>
      <c r="AU93" s="80" t="str">
        <f>REPLACE(INDEX(GroupVertices[Group],MATCH(Vertices[[#This Row],[Vertex]],GroupVertices[Vertex],0)),1,1,"")</f>
        <v>5</v>
      </c>
      <c r="AV93" s="49"/>
      <c r="AW93" s="50"/>
      <c r="AX93" s="49"/>
      <c r="AY93" s="50"/>
      <c r="AZ93" s="49"/>
      <c r="BA93" s="50"/>
      <c r="BB93" s="49"/>
      <c r="BC93" s="50"/>
      <c r="BD93" s="49"/>
      <c r="BE93" s="49"/>
      <c r="BF93" s="49"/>
      <c r="BG93" s="49"/>
      <c r="BH93" s="49"/>
      <c r="BI93" s="49"/>
      <c r="BJ93" s="49"/>
      <c r="BK93" s="111" t="s">
        <v>1239</v>
      </c>
      <c r="BL93" s="111" t="s">
        <v>1239</v>
      </c>
      <c r="BM93" s="111" t="s">
        <v>1239</v>
      </c>
      <c r="BN93" s="111" t="s">
        <v>1239</v>
      </c>
      <c r="BO93" s="2"/>
      <c r="BP93" s="3"/>
      <c r="BQ93" s="3"/>
      <c r="BR93" s="3"/>
      <c r="BS93" s="3"/>
    </row>
    <row r="94" spans="1:71" ht="15">
      <c r="A94" s="65" t="s">
        <v>414</v>
      </c>
      <c r="B94" s="66"/>
      <c r="C94" s="66"/>
      <c r="D94" s="67">
        <v>150</v>
      </c>
      <c r="E94" s="69"/>
      <c r="F94" s="103" t="str">
        <f>HYPERLINK("https://yt3.ggpht.com/ytc/AKedOLRhVjpDt15Olda-NLqmh_9G14O3m2coGqM029QqnQ=s88-c-k-c0x00ffffff-no-rj")</f>
        <v>https://yt3.ggpht.com/ytc/AKedOLRhVjpDt15Olda-NLqmh_9G14O3m2coGqM029QqnQ=s88-c-k-c0x00ffffff-no-rj</v>
      </c>
      <c r="G94" s="66"/>
      <c r="H94" s="70" t="s">
        <v>927</v>
      </c>
      <c r="I94" s="71"/>
      <c r="J94" s="71" t="s">
        <v>159</v>
      </c>
      <c r="K94" s="70" t="s">
        <v>927</v>
      </c>
      <c r="L94" s="74">
        <v>1</v>
      </c>
      <c r="M94" s="75">
        <v>8882.3544921875</v>
      </c>
      <c r="N94" s="75">
        <v>7544.61669921875</v>
      </c>
      <c r="O94" s="76"/>
      <c r="P94" s="77"/>
      <c r="Q94" s="77"/>
      <c r="R94" s="89"/>
      <c r="S94" s="49">
        <v>0</v>
      </c>
      <c r="T94" s="49">
        <v>1</v>
      </c>
      <c r="U94" s="50">
        <v>0</v>
      </c>
      <c r="V94" s="50">
        <v>0.021437</v>
      </c>
      <c r="W94" s="50">
        <v>0</v>
      </c>
      <c r="X94" s="50">
        <v>0.003938</v>
      </c>
      <c r="Y94" s="50">
        <v>0</v>
      </c>
      <c r="Z94" s="50">
        <v>0</v>
      </c>
      <c r="AA94" s="72">
        <v>94</v>
      </c>
      <c r="AB94" s="72"/>
      <c r="AC94" s="73"/>
      <c r="AD94" s="80" t="s">
        <v>927</v>
      </c>
      <c r="AE94" s="80"/>
      <c r="AF94" s="80"/>
      <c r="AG94" s="80"/>
      <c r="AH94" s="80"/>
      <c r="AI94" s="80" t="s">
        <v>1355</v>
      </c>
      <c r="AJ94" s="87">
        <v>42559.46797453704</v>
      </c>
      <c r="AK94" s="85" t="str">
        <f>HYPERLINK("https://yt3.ggpht.com/ytc/AKedOLRhVjpDt15Olda-NLqmh_9G14O3m2coGqM029QqnQ=s88-c-k-c0x00ffffff-no-rj")</f>
        <v>https://yt3.ggpht.com/ytc/AKedOLRhVjpDt15Olda-NLqmh_9G14O3m2coGqM029QqnQ=s88-c-k-c0x00ffffff-no-rj</v>
      </c>
      <c r="AL94" s="80">
        <v>137169</v>
      </c>
      <c r="AM94" s="80">
        <v>0</v>
      </c>
      <c r="AN94" s="80">
        <v>2120</v>
      </c>
      <c r="AO94" s="80" t="b">
        <v>0</v>
      </c>
      <c r="AP94" s="80">
        <v>79</v>
      </c>
      <c r="AQ94" s="80"/>
      <c r="AR94" s="80"/>
      <c r="AS94" s="80" t="s">
        <v>1376</v>
      </c>
      <c r="AT94" s="85" t="str">
        <f>HYPERLINK("https://www.youtube.com/channel/UC3ZPFGJ9YYuozcr4cSnBJ2A")</f>
        <v>https://www.youtube.com/channel/UC3ZPFGJ9YYuozcr4cSnBJ2A</v>
      </c>
      <c r="AU94" s="80" t="str">
        <f>REPLACE(INDEX(GroupVertices[Group],MATCH(Vertices[[#This Row],[Vertex]],GroupVertices[Vertex],0)),1,1,"")</f>
        <v>5</v>
      </c>
      <c r="AV94" s="49">
        <v>0</v>
      </c>
      <c r="AW94" s="50">
        <v>0</v>
      </c>
      <c r="AX94" s="49">
        <v>0</v>
      </c>
      <c r="AY94" s="50">
        <v>0</v>
      </c>
      <c r="AZ94" s="49">
        <v>0</v>
      </c>
      <c r="BA94" s="50">
        <v>0</v>
      </c>
      <c r="BB94" s="49">
        <v>6</v>
      </c>
      <c r="BC94" s="50">
        <v>100</v>
      </c>
      <c r="BD94" s="49">
        <v>6</v>
      </c>
      <c r="BE94" s="49"/>
      <c r="BF94" s="49"/>
      <c r="BG94" s="49"/>
      <c r="BH94" s="49"/>
      <c r="BI94" s="49"/>
      <c r="BJ94" s="49"/>
      <c r="BK94" s="111" t="s">
        <v>2428</v>
      </c>
      <c r="BL94" s="111" t="s">
        <v>2428</v>
      </c>
      <c r="BM94" s="111" t="s">
        <v>2618</v>
      </c>
      <c r="BN94" s="111" t="s">
        <v>2618</v>
      </c>
      <c r="BO94" s="2"/>
      <c r="BP94" s="3"/>
      <c r="BQ94" s="3"/>
      <c r="BR94" s="3"/>
      <c r="BS94" s="3"/>
    </row>
    <row r="95" spans="1:71" ht="15">
      <c r="A95" s="65" t="s">
        <v>415</v>
      </c>
      <c r="B95" s="66"/>
      <c r="C95" s="66"/>
      <c r="D95" s="67">
        <v>150</v>
      </c>
      <c r="E95" s="69"/>
      <c r="F95" s="103" t="str">
        <f>HYPERLINK("https://yt3.ggpht.com/ytc/AKedOLRF4_pAd--eT3uh7doAFKxkl7YSht9nJwRaocwWdA=s88-c-k-c0x00ffffff-no-rj")</f>
        <v>https://yt3.ggpht.com/ytc/AKedOLRF4_pAd--eT3uh7doAFKxkl7YSht9nJwRaocwWdA=s88-c-k-c0x00ffffff-no-rj</v>
      </c>
      <c r="G95" s="66"/>
      <c r="H95" s="70" t="s">
        <v>928</v>
      </c>
      <c r="I95" s="71"/>
      <c r="J95" s="71" t="s">
        <v>159</v>
      </c>
      <c r="K95" s="70" t="s">
        <v>928</v>
      </c>
      <c r="L95" s="74">
        <v>1</v>
      </c>
      <c r="M95" s="75">
        <v>8272.388671875</v>
      </c>
      <c r="N95" s="75">
        <v>8776.0185546875</v>
      </c>
      <c r="O95" s="76"/>
      <c r="P95" s="77"/>
      <c r="Q95" s="77"/>
      <c r="R95" s="89"/>
      <c r="S95" s="49">
        <v>0</v>
      </c>
      <c r="T95" s="49">
        <v>1</v>
      </c>
      <c r="U95" s="50">
        <v>0</v>
      </c>
      <c r="V95" s="50">
        <v>0.017578</v>
      </c>
      <c r="W95" s="50">
        <v>0</v>
      </c>
      <c r="X95" s="50">
        <v>0.003995</v>
      </c>
      <c r="Y95" s="50">
        <v>0</v>
      </c>
      <c r="Z95" s="50">
        <v>0</v>
      </c>
      <c r="AA95" s="72">
        <v>95</v>
      </c>
      <c r="AB95" s="72"/>
      <c r="AC95" s="73"/>
      <c r="AD95" s="80" t="s">
        <v>928</v>
      </c>
      <c r="AE95" s="80"/>
      <c r="AF95" s="80"/>
      <c r="AG95" s="80"/>
      <c r="AH95" s="80"/>
      <c r="AI95" s="80"/>
      <c r="AJ95" s="87">
        <v>42210.492847222224</v>
      </c>
      <c r="AK95" s="85" t="str">
        <f>HYPERLINK("https://yt3.ggpht.com/ytc/AKedOLRF4_pAd--eT3uh7doAFKxkl7YSht9nJwRaocwWdA=s88-c-k-c0x00ffffff-no-rj")</f>
        <v>https://yt3.ggpht.com/ytc/AKedOLRF4_pAd--eT3uh7doAFKxkl7YSht9nJwRaocwWdA=s88-c-k-c0x00ffffff-no-rj</v>
      </c>
      <c r="AL95" s="80">
        <v>0</v>
      </c>
      <c r="AM95" s="80">
        <v>0</v>
      </c>
      <c r="AN95" s="80">
        <v>2</v>
      </c>
      <c r="AO95" s="80" t="b">
        <v>0</v>
      </c>
      <c r="AP95" s="80">
        <v>0</v>
      </c>
      <c r="AQ95" s="80"/>
      <c r="AR95" s="80"/>
      <c r="AS95" s="80" t="s">
        <v>1376</v>
      </c>
      <c r="AT95" s="85" t="str">
        <f>HYPERLINK("https://www.youtube.com/channel/UCgHRnRM04bqxuFsbmaogYoQ")</f>
        <v>https://www.youtube.com/channel/UCgHRnRM04bqxuFsbmaogYoQ</v>
      </c>
      <c r="AU95" s="80" t="str">
        <f>REPLACE(INDEX(GroupVertices[Group],MATCH(Vertices[[#This Row],[Vertex]],GroupVertices[Vertex],0)),1,1,"")</f>
        <v>5</v>
      </c>
      <c r="AV95" s="49">
        <v>0</v>
      </c>
      <c r="AW95" s="50">
        <v>0</v>
      </c>
      <c r="AX95" s="49">
        <v>0</v>
      </c>
      <c r="AY95" s="50">
        <v>0</v>
      </c>
      <c r="AZ95" s="49">
        <v>0</v>
      </c>
      <c r="BA95" s="50">
        <v>0</v>
      </c>
      <c r="BB95" s="49">
        <v>8</v>
      </c>
      <c r="BC95" s="50">
        <v>100</v>
      </c>
      <c r="BD95" s="49">
        <v>8</v>
      </c>
      <c r="BE95" s="49"/>
      <c r="BF95" s="49"/>
      <c r="BG95" s="49"/>
      <c r="BH95" s="49"/>
      <c r="BI95" s="49"/>
      <c r="BJ95" s="49"/>
      <c r="BK95" s="111" t="s">
        <v>2429</v>
      </c>
      <c r="BL95" s="111" t="s">
        <v>2429</v>
      </c>
      <c r="BM95" s="111" t="s">
        <v>2619</v>
      </c>
      <c r="BN95" s="111" t="s">
        <v>2619</v>
      </c>
      <c r="BO95" s="2"/>
      <c r="BP95" s="3"/>
      <c r="BQ95" s="3"/>
      <c r="BR95" s="3"/>
      <c r="BS95" s="3"/>
    </row>
    <row r="96" spans="1:71" ht="15">
      <c r="A96" s="65" t="s">
        <v>417</v>
      </c>
      <c r="B96" s="66"/>
      <c r="C96" s="66"/>
      <c r="D96" s="67">
        <v>190.7088122605364</v>
      </c>
      <c r="E96" s="69"/>
      <c r="F96" s="103" t="str">
        <f>HYPERLINK("https://yt3.ggpht.com/ytc/AKedOLTJatyMkebesSt35FBz8RalSEEu1vHLbQF10VySAw=s88-c-k-c0x00ffffff-no-rj")</f>
        <v>https://yt3.ggpht.com/ytc/AKedOLTJatyMkebesSt35FBz8RalSEEu1vHLbQF10VySAw=s88-c-k-c0x00ffffff-no-rj</v>
      </c>
      <c r="G96" s="66"/>
      <c r="H96" s="70" t="s">
        <v>930</v>
      </c>
      <c r="I96" s="71"/>
      <c r="J96" s="71" t="s">
        <v>75</v>
      </c>
      <c r="K96" s="70" t="s">
        <v>930</v>
      </c>
      <c r="L96" s="74">
        <v>37.056981426073044</v>
      </c>
      <c r="M96" s="75">
        <v>8508.7255859375</v>
      </c>
      <c r="N96" s="75">
        <v>8256.974609375</v>
      </c>
      <c r="O96" s="76"/>
      <c r="P96" s="77"/>
      <c r="Q96" s="77"/>
      <c r="R96" s="89"/>
      <c r="S96" s="49">
        <v>3</v>
      </c>
      <c r="T96" s="49">
        <v>2</v>
      </c>
      <c r="U96" s="50">
        <v>50</v>
      </c>
      <c r="V96" s="50">
        <v>0.023755</v>
      </c>
      <c r="W96" s="50">
        <v>0</v>
      </c>
      <c r="X96" s="50">
        <v>0.005336</v>
      </c>
      <c r="Y96" s="50">
        <v>0</v>
      </c>
      <c r="Z96" s="50">
        <v>0</v>
      </c>
      <c r="AA96" s="72">
        <v>96</v>
      </c>
      <c r="AB96" s="72"/>
      <c r="AC96" s="73"/>
      <c r="AD96" s="80" t="s">
        <v>930</v>
      </c>
      <c r="AE96" s="80"/>
      <c r="AF96" s="80"/>
      <c r="AG96" s="80"/>
      <c r="AH96" s="80"/>
      <c r="AI96" s="80"/>
      <c r="AJ96" s="87">
        <v>40947.37039351852</v>
      </c>
      <c r="AK96" s="85" t="str">
        <f>HYPERLINK("https://yt3.ggpht.com/ytc/AKedOLTJatyMkebesSt35FBz8RalSEEu1vHLbQF10VySAw=s88-c-k-c0x00ffffff-no-rj")</f>
        <v>https://yt3.ggpht.com/ytc/AKedOLTJatyMkebesSt35FBz8RalSEEu1vHLbQF10VySAw=s88-c-k-c0x00ffffff-no-rj</v>
      </c>
      <c r="AL96" s="80">
        <v>0</v>
      </c>
      <c r="AM96" s="80">
        <v>0</v>
      </c>
      <c r="AN96" s="80">
        <v>1</v>
      </c>
      <c r="AO96" s="80" t="b">
        <v>0</v>
      </c>
      <c r="AP96" s="80">
        <v>0</v>
      </c>
      <c r="AQ96" s="80"/>
      <c r="AR96" s="80"/>
      <c r="AS96" s="80" t="s">
        <v>1376</v>
      </c>
      <c r="AT96" s="85" t="str">
        <f>HYPERLINK("https://www.youtube.com/channel/UCk1fFx94xROs0rc-0X9B5xQ")</f>
        <v>https://www.youtube.com/channel/UCk1fFx94xROs0rc-0X9B5xQ</v>
      </c>
      <c r="AU96" s="80" t="str">
        <f>REPLACE(INDEX(GroupVertices[Group],MATCH(Vertices[[#This Row],[Vertex]],GroupVertices[Vertex],0)),1,1,"")</f>
        <v>5</v>
      </c>
      <c r="AV96" s="49">
        <v>1</v>
      </c>
      <c r="AW96" s="50">
        <v>0.9523809523809523</v>
      </c>
      <c r="AX96" s="49">
        <v>0</v>
      </c>
      <c r="AY96" s="50">
        <v>0</v>
      </c>
      <c r="AZ96" s="49">
        <v>0</v>
      </c>
      <c r="BA96" s="50">
        <v>0</v>
      </c>
      <c r="BB96" s="49">
        <v>104</v>
      </c>
      <c r="BC96" s="50">
        <v>99.04761904761905</v>
      </c>
      <c r="BD96" s="49">
        <v>105</v>
      </c>
      <c r="BE96" s="49" t="s">
        <v>2337</v>
      </c>
      <c r="BF96" s="49" t="s">
        <v>2337</v>
      </c>
      <c r="BG96" s="49" t="s">
        <v>2348</v>
      </c>
      <c r="BH96" s="49" t="s">
        <v>2348</v>
      </c>
      <c r="BI96" s="49"/>
      <c r="BJ96" s="49"/>
      <c r="BK96" s="111" t="s">
        <v>2430</v>
      </c>
      <c r="BL96" s="111" t="s">
        <v>2531</v>
      </c>
      <c r="BM96" s="111" t="s">
        <v>2620</v>
      </c>
      <c r="BN96" s="111" t="s">
        <v>2620</v>
      </c>
      <c r="BO96" s="2"/>
      <c r="BP96" s="3"/>
      <c r="BQ96" s="3"/>
      <c r="BR96" s="3"/>
      <c r="BS96" s="3"/>
    </row>
    <row r="97" spans="1:71" ht="15">
      <c r="A97" s="65" t="s">
        <v>416</v>
      </c>
      <c r="B97" s="66"/>
      <c r="C97" s="66"/>
      <c r="D97" s="67">
        <v>150</v>
      </c>
      <c r="E97" s="69"/>
      <c r="F97" s="103" t="str">
        <f>HYPERLINK("https://yt3.ggpht.com/ytc/AKedOLST3sHaaRoGCwjpZGIFPnplgx_3wwc8zIKxztUZug=s88-c-k-c0x00ffffff-no-rj")</f>
        <v>https://yt3.ggpht.com/ytc/AKedOLST3sHaaRoGCwjpZGIFPnplgx_3wwc8zIKxztUZug=s88-c-k-c0x00ffffff-no-rj</v>
      </c>
      <c r="G97" s="66"/>
      <c r="H97" s="70" t="s">
        <v>929</v>
      </c>
      <c r="I97" s="71"/>
      <c r="J97" s="71" t="s">
        <v>159</v>
      </c>
      <c r="K97" s="70" t="s">
        <v>929</v>
      </c>
      <c r="L97" s="74">
        <v>1</v>
      </c>
      <c r="M97" s="75">
        <v>8109.59228515625</v>
      </c>
      <c r="N97" s="75">
        <v>8236.8310546875</v>
      </c>
      <c r="O97" s="76"/>
      <c r="P97" s="77"/>
      <c r="Q97" s="77"/>
      <c r="R97" s="89"/>
      <c r="S97" s="49">
        <v>0</v>
      </c>
      <c r="T97" s="49">
        <v>1</v>
      </c>
      <c r="U97" s="50">
        <v>0</v>
      </c>
      <c r="V97" s="50">
        <v>0.017578</v>
      </c>
      <c r="W97" s="50">
        <v>0</v>
      </c>
      <c r="X97" s="50">
        <v>0.003995</v>
      </c>
      <c r="Y97" s="50">
        <v>0</v>
      </c>
      <c r="Z97" s="50">
        <v>0</v>
      </c>
      <c r="AA97" s="72">
        <v>97</v>
      </c>
      <c r="AB97" s="72"/>
      <c r="AC97" s="73"/>
      <c r="AD97" s="80" t="s">
        <v>929</v>
      </c>
      <c r="AE97" s="80"/>
      <c r="AF97" s="80"/>
      <c r="AG97" s="80"/>
      <c r="AH97" s="80"/>
      <c r="AI97" s="80"/>
      <c r="AJ97" s="87">
        <v>41506.116875</v>
      </c>
      <c r="AK97" s="85" t="str">
        <f>HYPERLINK("https://yt3.ggpht.com/ytc/AKedOLST3sHaaRoGCwjpZGIFPnplgx_3wwc8zIKxztUZug=s88-c-k-c0x00ffffff-no-rj")</f>
        <v>https://yt3.ggpht.com/ytc/AKedOLST3sHaaRoGCwjpZGIFPnplgx_3wwc8zIKxztUZug=s88-c-k-c0x00ffffff-no-rj</v>
      </c>
      <c r="AL97" s="80">
        <v>2540</v>
      </c>
      <c r="AM97" s="80">
        <v>0</v>
      </c>
      <c r="AN97" s="80">
        <v>12</v>
      </c>
      <c r="AO97" s="80" t="b">
        <v>0</v>
      </c>
      <c r="AP97" s="80">
        <v>29</v>
      </c>
      <c r="AQ97" s="80"/>
      <c r="AR97" s="80"/>
      <c r="AS97" s="80" t="s">
        <v>1376</v>
      </c>
      <c r="AT97" s="85" t="str">
        <f>HYPERLINK("https://www.youtube.com/channel/UCNqum2PJcIKJNqgdpJT_BAQ")</f>
        <v>https://www.youtube.com/channel/UCNqum2PJcIKJNqgdpJT_BAQ</v>
      </c>
      <c r="AU97" s="80" t="str">
        <f>REPLACE(INDEX(GroupVertices[Group],MATCH(Vertices[[#This Row],[Vertex]],GroupVertices[Vertex],0)),1,1,"")</f>
        <v>5</v>
      </c>
      <c r="AV97" s="49">
        <v>0</v>
      </c>
      <c r="AW97" s="50">
        <v>0</v>
      </c>
      <c r="AX97" s="49">
        <v>0</v>
      </c>
      <c r="AY97" s="50">
        <v>0</v>
      </c>
      <c r="AZ97" s="49">
        <v>0</v>
      </c>
      <c r="BA97" s="50">
        <v>0</v>
      </c>
      <c r="BB97" s="49">
        <v>21</v>
      </c>
      <c r="BC97" s="50">
        <v>100</v>
      </c>
      <c r="BD97" s="49">
        <v>21</v>
      </c>
      <c r="BE97" s="49" t="s">
        <v>2141</v>
      </c>
      <c r="BF97" s="49" t="s">
        <v>2141</v>
      </c>
      <c r="BG97" s="49" t="s">
        <v>2171</v>
      </c>
      <c r="BH97" s="49" t="s">
        <v>2171</v>
      </c>
      <c r="BI97" s="49"/>
      <c r="BJ97" s="49"/>
      <c r="BK97" s="111" t="s">
        <v>2431</v>
      </c>
      <c r="BL97" s="111" t="s">
        <v>2431</v>
      </c>
      <c r="BM97" s="111" t="s">
        <v>2621</v>
      </c>
      <c r="BN97" s="111" t="s">
        <v>2621</v>
      </c>
      <c r="BO97" s="2"/>
      <c r="BP97" s="3"/>
      <c r="BQ97" s="3"/>
      <c r="BR97" s="3"/>
      <c r="BS97" s="3"/>
    </row>
    <row r="98" spans="1:71" ht="15">
      <c r="A98" s="65" t="s">
        <v>418</v>
      </c>
      <c r="B98" s="66"/>
      <c r="C98" s="66"/>
      <c r="D98" s="67">
        <v>150</v>
      </c>
      <c r="E98" s="69"/>
      <c r="F98" s="103" t="str">
        <f>HYPERLINK("https://yt3.ggpht.com/ytc/AKedOLSBBR3nhUCXCK5V2J-3whI1TaNBAQpoDafPOx35xQ=s88-c-k-c0x00ffffff-no-rj")</f>
        <v>https://yt3.ggpht.com/ytc/AKedOLSBBR3nhUCXCK5V2J-3whI1TaNBAQpoDafPOx35xQ=s88-c-k-c0x00ffffff-no-rj</v>
      </c>
      <c r="G98" s="66"/>
      <c r="H98" s="70" t="s">
        <v>931</v>
      </c>
      <c r="I98" s="71"/>
      <c r="J98" s="71" t="s">
        <v>159</v>
      </c>
      <c r="K98" s="70" t="s">
        <v>931</v>
      </c>
      <c r="L98" s="74">
        <v>1</v>
      </c>
      <c r="M98" s="75">
        <v>9176.82421875</v>
      </c>
      <c r="N98" s="75">
        <v>6543.46337890625</v>
      </c>
      <c r="O98" s="76"/>
      <c r="P98" s="77"/>
      <c r="Q98" s="77"/>
      <c r="R98" s="89"/>
      <c r="S98" s="49">
        <v>0</v>
      </c>
      <c r="T98" s="49">
        <v>1</v>
      </c>
      <c r="U98" s="50">
        <v>0</v>
      </c>
      <c r="V98" s="50">
        <v>0.016902</v>
      </c>
      <c r="W98" s="50">
        <v>0</v>
      </c>
      <c r="X98" s="50">
        <v>0.004137</v>
      </c>
      <c r="Y98" s="50">
        <v>0</v>
      </c>
      <c r="Z98" s="50">
        <v>0</v>
      </c>
      <c r="AA98" s="72">
        <v>98</v>
      </c>
      <c r="AB98" s="72"/>
      <c r="AC98" s="73"/>
      <c r="AD98" s="80" t="s">
        <v>931</v>
      </c>
      <c r="AE98" s="80"/>
      <c r="AF98" s="80"/>
      <c r="AG98" s="80"/>
      <c r="AH98" s="80"/>
      <c r="AI98" s="80"/>
      <c r="AJ98" s="87">
        <v>42744.8528125</v>
      </c>
      <c r="AK98" s="85" t="str">
        <f>HYPERLINK("https://yt3.ggpht.com/ytc/AKedOLSBBR3nhUCXCK5V2J-3whI1TaNBAQpoDafPOx35xQ=s88-c-k-c0x00ffffff-no-rj")</f>
        <v>https://yt3.ggpht.com/ytc/AKedOLSBBR3nhUCXCK5V2J-3whI1TaNBAQpoDafPOx35xQ=s88-c-k-c0x00ffffff-no-rj</v>
      </c>
      <c r="AL98" s="80">
        <v>0</v>
      </c>
      <c r="AM98" s="80">
        <v>0</v>
      </c>
      <c r="AN98" s="80">
        <v>0</v>
      </c>
      <c r="AO98" s="80" t="b">
        <v>0</v>
      </c>
      <c r="AP98" s="80">
        <v>0</v>
      </c>
      <c r="AQ98" s="80"/>
      <c r="AR98" s="80"/>
      <c r="AS98" s="80" t="s">
        <v>1376</v>
      </c>
      <c r="AT98" s="85" t="str">
        <f>HYPERLINK("https://www.youtube.com/channel/UCaHhU-OK1Vac5L2ghUiDtfw")</f>
        <v>https://www.youtube.com/channel/UCaHhU-OK1Vac5L2ghUiDtfw</v>
      </c>
      <c r="AU98" s="80" t="str">
        <f>REPLACE(INDEX(GroupVertices[Group],MATCH(Vertices[[#This Row],[Vertex]],GroupVertices[Vertex],0)),1,1,"")</f>
        <v>5</v>
      </c>
      <c r="AV98" s="49">
        <v>0</v>
      </c>
      <c r="AW98" s="50">
        <v>0</v>
      </c>
      <c r="AX98" s="49">
        <v>0</v>
      </c>
      <c r="AY98" s="50">
        <v>0</v>
      </c>
      <c r="AZ98" s="49">
        <v>0</v>
      </c>
      <c r="BA98" s="50">
        <v>0</v>
      </c>
      <c r="BB98" s="49">
        <v>14</v>
      </c>
      <c r="BC98" s="50">
        <v>100</v>
      </c>
      <c r="BD98" s="49">
        <v>14</v>
      </c>
      <c r="BE98" s="49"/>
      <c r="BF98" s="49"/>
      <c r="BG98" s="49"/>
      <c r="BH98" s="49"/>
      <c r="BI98" s="49"/>
      <c r="BJ98" s="49"/>
      <c r="BK98" s="111" t="s">
        <v>2432</v>
      </c>
      <c r="BL98" s="111" t="s">
        <v>2432</v>
      </c>
      <c r="BM98" s="111" t="s">
        <v>2622</v>
      </c>
      <c r="BN98" s="111" t="s">
        <v>2622</v>
      </c>
      <c r="BO98" s="2"/>
      <c r="BP98" s="3"/>
      <c r="BQ98" s="3"/>
      <c r="BR98" s="3"/>
      <c r="BS98" s="3"/>
    </row>
    <row r="99" spans="1:71" ht="15">
      <c r="A99" s="65" t="s">
        <v>419</v>
      </c>
      <c r="B99" s="66"/>
      <c r="C99" s="66"/>
      <c r="D99" s="67">
        <v>171.16858237547893</v>
      </c>
      <c r="E99" s="69"/>
      <c r="F99" s="103" t="str">
        <f>HYPERLINK("https://yt3.ggpht.com/ytc/AKedOLQtEDauYdjrDa2lsLedViOztuYVZy1ndol531x1eA=s88-c-k-c0x00ffffff-no-rj")</f>
        <v>https://yt3.ggpht.com/ytc/AKedOLQtEDauYdjrDa2lsLedViOztuYVZy1ndol531x1eA=s88-c-k-c0x00ffffff-no-rj</v>
      </c>
      <c r="G99" s="66"/>
      <c r="H99" s="70" t="s">
        <v>932</v>
      </c>
      <c r="I99" s="71"/>
      <c r="J99" s="71" t="s">
        <v>75</v>
      </c>
      <c r="K99" s="70" t="s">
        <v>932</v>
      </c>
      <c r="L99" s="74">
        <v>19.74963034155798</v>
      </c>
      <c r="M99" s="75">
        <v>9069.8125</v>
      </c>
      <c r="N99" s="75">
        <v>7179.0009765625</v>
      </c>
      <c r="O99" s="76"/>
      <c r="P99" s="77"/>
      <c r="Q99" s="77"/>
      <c r="R99" s="89"/>
      <c r="S99" s="49">
        <v>1</v>
      </c>
      <c r="T99" s="49">
        <v>1</v>
      </c>
      <c r="U99" s="50">
        <v>26</v>
      </c>
      <c r="V99" s="50">
        <v>0.022537</v>
      </c>
      <c r="W99" s="50">
        <v>0</v>
      </c>
      <c r="X99" s="50">
        <v>0.004558</v>
      </c>
      <c r="Y99" s="50">
        <v>0</v>
      </c>
      <c r="Z99" s="50">
        <v>0</v>
      </c>
      <c r="AA99" s="72">
        <v>99</v>
      </c>
      <c r="AB99" s="72"/>
      <c r="AC99" s="73"/>
      <c r="AD99" s="80" t="s">
        <v>932</v>
      </c>
      <c r="AE99" s="80"/>
      <c r="AF99" s="80"/>
      <c r="AG99" s="80"/>
      <c r="AH99" s="80"/>
      <c r="AI99" s="80"/>
      <c r="AJ99" s="87">
        <v>41352.686793981484</v>
      </c>
      <c r="AK99" s="85" t="str">
        <f>HYPERLINK("https://yt3.ggpht.com/ytc/AKedOLQtEDauYdjrDa2lsLedViOztuYVZy1ndol531x1eA=s88-c-k-c0x00ffffff-no-rj")</f>
        <v>https://yt3.ggpht.com/ytc/AKedOLQtEDauYdjrDa2lsLedViOztuYVZy1ndol531x1eA=s88-c-k-c0x00ffffff-no-rj</v>
      </c>
      <c r="AL99" s="80">
        <v>0</v>
      </c>
      <c r="AM99" s="80">
        <v>0</v>
      </c>
      <c r="AN99" s="80">
        <v>0</v>
      </c>
      <c r="AO99" s="80" t="b">
        <v>0</v>
      </c>
      <c r="AP99" s="80">
        <v>0</v>
      </c>
      <c r="AQ99" s="80"/>
      <c r="AR99" s="80"/>
      <c r="AS99" s="80" t="s">
        <v>1376</v>
      </c>
      <c r="AT99" s="85" t="str">
        <f>HYPERLINK("https://www.youtube.com/channel/UC9WOPcj0UJiSLURpeHpTLGg")</f>
        <v>https://www.youtube.com/channel/UC9WOPcj0UJiSLURpeHpTLGg</v>
      </c>
      <c r="AU99" s="80" t="str">
        <f>REPLACE(INDEX(GroupVertices[Group],MATCH(Vertices[[#This Row],[Vertex]],GroupVertices[Vertex],0)),1,1,"")</f>
        <v>5</v>
      </c>
      <c r="AV99" s="49">
        <v>0</v>
      </c>
      <c r="AW99" s="50">
        <v>0</v>
      </c>
      <c r="AX99" s="49">
        <v>0</v>
      </c>
      <c r="AY99" s="50">
        <v>0</v>
      </c>
      <c r="AZ99" s="49">
        <v>0</v>
      </c>
      <c r="BA99" s="50">
        <v>0</v>
      </c>
      <c r="BB99" s="49">
        <v>45</v>
      </c>
      <c r="BC99" s="50">
        <v>100</v>
      </c>
      <c r="BD99" s="49">
        <v>45</v>
      </c>
      <c r="BE99" s="49" t="s">
        <v>2143</v>
      </c>
      <c r="BF99" s="49" t="s">
        <v>2143</v>
      </c>
      <c r="BG99" s="49" t="s">
        <v>1221</v>
      </c>
      <c r="BH99" s="49" t="s">
        <v>1221</v>
      </c>
      <c r="BI99" s="49"/>
      <c r="BJ99" s="49"/>
      <c r="BK99" s="111" t="s">
        <v>2433</v>
      </c>
      <c r="BL99" s="111" t="s">
        <v>2433</v>
      </c>
      <c r="BM99" s="111" t="s">
        <v>2623</v>
      </c>
      <c r="BN99" s="111" t="s">
        <v>2623</v>
      </c>
      <c r="BO99" s="2"/>
      <c r="BP99" s="3"/>
      <c r="BQ99" s="3"/>
      <c r="BR99" s="3"/>
      <c r="BS99" s="3"/>
    </row>
    <row r="100" spans="1:71" ht="15">
      <c r="A100" s="65" t="s">
        <v>420</v>
      </c>
      <c r="B100" s="66"/>
      <c r="C100" s="66"/>
      <c r="D100" s="67">
        <v>150</v>
      </c>
      <c r="E100" s="69"/>
      <c r="F100" s="103" t="str">
        <f>HYPERLINK("https://yt3.ggpht.com/ytc/AKedOLQLYJJNd_jVSVBshW1DVTjtt8NsOBXa0nKJwzGwNQ=s88-c-k-c0x00ffffff-no-rj")</f>
        <v>https://yt3.ggpht.com/ytc/AKedOLQLYJJNd_jVSVBshW1DVTjtt8NsOBXa0nKJwzGwNQ=s88-c-k-c0x00ffffff-no-rj</v>
      </c>
      <c r="G100" s="66"/>
      <c r="H100" s="70" t="s">
        <v>933</v>
      </c>
      <c r="I100" s="71"/>
      <c r="J100" s="71" t="s">
        <v>159</v>
      </c>
      <c r="K100" s="70" t="s">
        <v>933</v>
      </c>
      <c r="L100" s="74">
        <v>1</v>
      </c>
      <c r="M100" s="75">
        <v>1839.4130859375</v>
      </c>
      <c r="N100" s="75">
        <v>3574.66552734375</v>
      </c>
      <c r="O100" s="76"/>
      <c r="P100" s="77"/>
      <c r="Q100" s="77"/>
      <c r="R100" s="89"/>
      <c r="S100" s="49">
        <v>0</v>
      </c>
      <c r="T100" s="49">
        <v>1</v>
      </c>
      <c r="U100" s="50">
        <v>0</v>
      </c>
      <c r="V100" s="50">
        <v>0.189881</v>
      </c>
      <c r="W100" s="50">
        <v>0.080745</v>
      </c>
      <c r="X100" s="50">
        <v>0.003874</v>
      </c>
      <c r="Y100" s="50">
        <v>0</v>
      </c>
      <c r="Z100" s="50">
        <v>0</v>
      </c>
      <c r="AA100" s="72">
        <v>100</v>
      </c>
      <c r="AB100" s="72"/>
      <c r="AC100" s="73"/>
      <c r="AD100" s="80" t="s">
        <v>933</v>
      </c>
      <c r="AE100" s="80"/>
      <c r="AF100" s="80"/>
      <c r="AG100" s="80"/>
      <c r="AH100" s="80"/>
      <c r="AI100" s="80"/>
      <c r="AJ100" s="87">
        <v>40922.51002314815</v>
      </c>
      <c r="AK100" s="85" t="str">
        <f>HYPERLINK("https://yt3.ggpht.com/ytc/AKedOLQLYJJNd_jVSVBshW1DVTjtt8NsOBXa0nKJwzGwNQ=s88-c-k-c0x00ffffff-no-rj")</f>
        <v>https://yt3.ggpht.com/ytc/AKedOLQLYJJNd_jVSVBshW1DVTjtt8NsOBXa0nKJwzGwNQ=s88-c-k-c0x00ffffff-no-rj</v>
      </c>
      <c r="AL100" s="80">
        <v>0</v>
      </c>
      <c r="AM100" s="80">
        <v>0</v>
      </c>
      <c r="AN100" s="80">
        <v>0</v>
      </c>
      <c r="AO100" s="80" t="b">
        <v>0</v>
      </c>
      <c r="AP100" s="80">
        <v>0</v>
      </c>
      <c r="AQ100" s="80"/>
      <c r="AR100" s="80"/>
      <c r="AS100" s="80" t="s">
        <v>1376</v>
      </c>
      <c r="AT100" s="85" t="str">
        <f>HYPERLINK("https://www.youtube.com/channel/UCJIZkb4wSJWKnDl2y3zC5Fg")</f>
        <v>https://www.youtube.com/channel/UCJIZkb4wSJWKnDl2y3zC5Fg</v>
      </c>
      <c r="AU100" s="80" t="str">
        <f>REPLACE(INDEX(GroupVertices[Group],MATCH(Vertices[[#This Row],[Vertex]],GroupVertices[Vertex],0)),1,1,"")</f>
        <v>1</v>
      </c>
      <c r="AV100" s="49">
        <v>0</v>
      </c>
      <c r="AW100" s="50">
        <v>0</v>
      </c>
      <c r="AX100" s="49">
        <v>1</v>
      </c>
      <c r="AY100" s="50">
        <v>1.9230769230769231</v>
      </c>
      <c r="AZ100" s="49">
        <v>0</v>
      </c>
      <c r="BA100" s="50">
        <v>0</v>
      </c>
      <c r="BB100" s="49">
        <v>51</v>
      </c>
      <c r="BC100" s="50">
        <v>98.07692307692308</v>
      </c>
      <c r="BD100" s="49">
        <v>52</v>
      </c>
      <c r="BE100" s="49"/>
      <c r="BF100" s="49"/>
      <c r="BG100" s="49"/>
      <c r="BH100" s="49"/>
      <c r="BI100" s="49"/>
      <c r="BJ100" s="49"/>
      <c r="BK100" s="111" t="s">
        <v>2434</v>
      </c>
      <c r="BL100" s="111" t="s">
        <v>2434</v>
      </c>
      <c r="BM100" s="111" t="s">
        <v>2624</v>
      </c>
      <c r="BN100" s="111" t="s">
        <v>2624</v>
      </c>
      <c r="BO100" s="2"/>
      <c r="BP100" s="3"/>
      <c r="BQ100" s="3"/>
      <c r="BR100" s="3"/>
      <c r="BS100" s="3"/>
    </row>
    <row r="101" spans="1:71" ht="15">
      <c r="A101" s="65" t="s">
        <v>421</v>
      </c>
      <c r="B101" s="66"/>
      <c r="C101" s="66"/>
      <c r="D101" s="67">
        <v>150</v>
      </c>
      <c r="E101" s="69"/>
      <c r="F101" s="103" t="str">
        <f>HYPERLINK("https://yt3.ggpht.com/ytc/AKedOLTe6PSjp4vs5MA-qdQQ7yGLX1kHsr4wTOPETeQB=s88-c-k-c0x00ffffff-no-rj")</f>
        <v>https://yt3.ggpht.com/ytc/AKedOLTe6PSjp4vs5MA-qdQQ7yGLX1kHsr4wTOPETeQB=s88-c-k-c0x00ffffff-no-rj</v>
      </c>
      <c r="G101" s="66"/>
      <c r="H101" s="70" t="s">
        <v>934</v>
      </c>
      <c r="I101" s="71"/>
      <c r="J101" s="71" t="s">
        <v>159</v>
      </c>
      <c r="K101" s="70" t="s">
        <v>934</v>
      </c>
      <c r="L101" s="74">
        <v>1</v>
      </c>
      <c r="M101" s="75">
        <v>6882.42138671875</v>
      </c>
      <c r="N101" s="75">
        <v>4764.2294921875</v>
      </c>
      <c r="O101" s="76"/>
      <c r="P101" s="77"/>
      <c r="Q101" s="77"/>
      <c r="R101" s="89"/>
      <c r="S101" s="49">
        <v>0</v>
      </c>
      <c r="T101" s="49">
        <v>1</v>
      </c>
      <c r="U101" s="50">
        <v>0</v>
      </c>
      <c r="V101" s="50">
        <v>0.121339</v>
      </c>
      <c r="W101" s="50">
        <v>0.001293</v>
      </c>
      <c r="X101" s="50">
        <v>0.00393</v>
      </c>
      <c r="Y101" s="50">
        <v>0</v>
      </c>
      <c r="Z101" s="50">
        <v>0</v>
      </c>
      <c r="AA101" s="72">
        <v>101</v>
      </c>
      <c r="AB101" s="72"/>
      <c r="AC101" s="73"/>
      <c r="AD101" s="80" t="s">
        <v>934</v>
      </c>
      <c r="AE101" s="80"/>
      <c r="AF101" s="80"/>
      <c r="AG101" s="80"/>
      <c r="AH101" s="80"/>
      <c r="AI101" s="80"/>
      <c r="AJ101" s="87">
        <v>39285.815254629626</v>
      </c>
      <c r="AK101" s="85" t="str">
        <f>HYPERLINK("https://yt3.ggpht.com/ytc/AKedOLTe6PSjp4vs5MA-qdQQ7yGLX1kHsr4wTOPETeQB=s88-c-k-c0x00ffffff-no-rj")</f>
        <v>https://yt3.ggpht.com/ytc/AKedOLTe6PSjp4vs5MA-qdQQ7yGLX1kHsr4wTOPETeQB=s88-c-k-c0x00ffffff-no-rj</v>
      </c>
      <c r="AL101" s="80">
        <v>1861</v>
      </c>
      <c r="AM101" s="80">
        <v>0</v>
      </c>
      <c r="AN101" s="80">
        <v>11</v>
      </c>
      <c r="AO101" s="80" t="b">
        <v>0</v>
      </c>
      <c r="AP101" s="80">
        <v>7</v>
      </c>
      <c r="AQ101" s="80"/>
      <c r="AR101" s="80"/>
      <c r="AS101" s="80" t="s">
        <v>1376</v>
      </c>
      <c r="AT101" s="85" t="str">
        <f>HYPERLINK("https://www.youtube.com/channel/UCdroRJc0_ZpOqXd_5Gp1UEA")</f>
        <v>https://www.youtube.com/channel/UCdroRJc0_ZpOqXd_5Gp1UEA</v>
      </c>
      <c r="AU101" s="80" t="str">
        <f>REPLACE(INDEX(GroupVertices[Group],MATCH(Vertices[[#This Row],[Vertex]],GroupVertices[Vertex],0)),1,1,"")</f>
        <v>7</v>
      </c>
      <c r="AV101" s="49">
        <v>0</v>
      </c>
      <c r="AW101" s="50">
        <v>0</v>
      </c>
      <c r="AX101" s="49">
        <v>0</v>
      </c>
      <c r="AY101" s="50">
        <v>0</v>
      </c>
      <c r="AZ101" s="49">
        <v>0</v>
      </c>
      <c r="BA101" s="50">
        <v>0</v>
      </c>
      <c r="BB101" s="49">
        <v>5</v>
      </c>
      <c r="BC101" s="50">
        <v>100</v>
      </c>
      <c r="BD101" s="49">
        <v>5</v>
      </c>
      <c r="BE101" s="49"/>
      <c r="BF101" s="49"/>
      <c r="BG101" s="49"/>
      <c r="BH101" s="49"/>
      <c r="BI101" s="49"/>
      <c r="BJ101" s="49"/>
      <c r="BK101" s="111" t="s">
        <v>1452</v>
      </c>
      <c r="BL101" s="111" t="s">
        <v>1452</v>
      </c>
      <c r="BM101" s="111" t="s">
        <v>1239</v>
      </c>
      <c r="BN101" s="111" t="s">
        <v>1239</v>
      </c>
      <c r="BO101" s="2"/>
      <c r="BP101" s="3"/>
      <c r="BQ101" s="3"/>
      <c r="BR101" s="3"/>
      <c r="BS101" s="3"/>
    </row>
    <row r="102" spans="1:71" ht="15">
      <c r="A102" s="65" t="s">
        <v>430</v>
      </c>
      <c r="B102" s="66"/>
      <c r="C102" s="66"/>
      <c r="D102" s="67">
        <v>1000</v>
      </c>
      <c r="E102" s="69"/>
      <c r="F102" s="103" t="str">
        <f>HYPERLINK("https://yt3.ggpht.com/ytc/AKedOLRQPHRW2lKEMd2Qh8ichaP00bOPZszcEl_Z7YXG7g=s88-c-k-c0x00ffffff-no-rj")</f>
        <v>https://yt3.ggpht.com/ytc/AKedOLRQPHRW2lKEMd2Qh8ichaP00bOPZszcEl_Z7YXG7g=s88-c-k-c0x00ffffff-no-rj</v>
      </c>
      <c r="G102" s="66"/>
      <c r="H102" s="70" t="s">
        <v>943</v>
      </c>
      <c r="I102" s="71"/>
      <c r="J102" s="71" t="s">
        <v>75</v>
      </c>
      <c r="K102" s="70" t="s">
        <v>943</v>
      </c>
      <c r="L102" s="74">
        <v>1436.0678607577072</v>
      </c>
      <c r="M102" s="75">
        <v>7041.10205078125</v>
      </c>
      <c r="N102" s="75">
        <v>5313.5927734375</v>
      </c>
      <c r="O102" s="76"/>
      <c r="P102" s="77"/>
      <c r="Q102" s="77"/>
      <c r="R102" s="89"/>
      <c r="S102" s="49">
        <v>9</v>
      </c>
      <c r="T102" s="49">
        <v>2</v>
      </c>
      <c r="U102" s="50">
        <v>1990</v>
      </c>
      <c r="V102" s="50">
        <v>0.153231</v>
      </c>
      <c r="W102" s="50">
        <v>0.011521</v>
      </c>
      <c r="X102" s="50">
        <v>0.008109</v>
      </c>
      <c r="Y102" s="50">
        <v>0</v>
      </c>
      <c r="Z102" s="50">
        <v>0.125</v>
      </c>
      <c r="AA102" s="72">
        <v>102</v>
      </c>
      <c r="AB102" s="72"/>
      <c r="AC102" s="73"/>
      <c r="AD102" s="80" t="s">
        <v>943</v>
      </c>
      <c r="AE102" s="80"/>
      <c r="AF102" s="80"/>
      <c r="AG102" s="80"/>
      <c r="AH102" s="80"/>
      <c r="AI102" s="80" t="s">
        <v>1356</v>
      </c>
      <c r="AJ102" s="87">
        <v>41399.14829861111</v>
      </c>
      <c r="AK102" s="85" t="str">
        <f>HYPERLINK("https://yt3.ggpht.com/ytc/AKedOLRQPHRW2lKEMd2Qh8ichaP00bOPZszcEl_Z7YXG7g=s88-c-k-c0x00ffffff-no-rj")</f>
        <v>https://yt3.ggpht.com/ytc/AKedOLRQPHRW2lKEMd2Qh8ichaP00bOPZszcEl_Z7YXG7g=s88-c-k-c0x00ffffff-no-rj</v>
      </c>
      <c r="AL102" s="80">
        <v>20134</v>
      </c>
      <c r="AM102" s="80">
        <v>0</v>
      </c>
      <c r="AN102" s="80">
        <v>0</v>
      </c>
      <c r="AO102" s="80" t="b">
        <v>1</v>
      </c>
      <c r="AP102" s="80">
        <v>20</v>
      </c>
      <c r="AQ102" s="80"/>
      <c r="AR102" s="80"/>
      <c r="AS102" s="80" t="s">
        <v>1376</v>
      </c>
      <c r="AT102" s="85" t="str">
        <f>HYPERLINK("https://www.youtube.com/channel/UC4B0PCHbdzSSzlHORDsaYjQ")</f>
        <v>https://www.youtube.com/channel/UC4B0PCHbdzSSzlHORDsaYjQ</v>
      </c>
      <c r="AU102" s="80" t="str">
        <f>REPLACE(INDEX(GroupVertices[Group],MATCH(Vertices[[#This Row],[Vertex]],GroupVertices[Vertex],0)),1,1,"")</f>
        <v>7</v>
      </c>
      <c r="AV102" s="49">
        <v>0</v>
      </c>
      <c r="AW102" s="50">
        <v>0</v>
      </c>
      <c r="AX102" s="49">
        <v>0</v>
      </c>
      <c r="AY102" s="50">
        <v>0</v>
      </c>
      <c r="AZ102" s="49">
        <v>0</v>
      </c>
      <c r="BA102" s="50">
        <v>0</v>
      </c>
      <c r="BB102" s="49">
        <v>14</v>
      </c>
      <c r="BC102" s="50">
        <v>100</v>
      </c>
      <c r="BD102" s="49">
        <v>14</v>
      </c>
      <c r="BE102" s="49"/>
      <c r="BF102" s="49"/>
      <c r="BG102" s="49"/>
      <c r="BH102" s="49"/>
      <c r="BI102" s="49"/>
      <c r="BJ102" s="49"/>
      <c r="BK102" s="111" t="s">
        <v>2435</v>
      </c>
      <c r="BL102" s="111" t="s">
        <v>2435</v>
      </c>
      <c r="BM102" s="111" t="s">
        <v>2625</v>
      </c>
      <c r="BN102" s="111" t="s">
        <v>2625</v>
      </c>
      <c r="BO102" s="2"/>
      <c r="BP102" s="3"/>
      <c r="BQ102" s="3"/>
      <c r="BR102" s="3"/>
      <c r="BS102" s="3"/>
    </row>
    <row r="103" spans="1:71" ht="15">
      <c r="A103" s="65" t="s">
        <v>422</v>
      </c>
      <c r="B103" s="66"/>
      <c r="C103" s="66"/>
      <c r="D103" s="67">
        <v>150</v>
      </c>
      <c r="E103" s="69"/>
      <c r="F103" s="103" t="str">
        <f>HYPERLINK("https://yt3.ggpht.com/ytc/AKedOLT6TMRG7XrixtgI81CB41ixv_b5wCMeZul4-5qbEA=s88-c-k-c0x00ffffff-no-rj")</f>
        <v>https://yt3.ggpht.com/ytc/AKedOLT6TMRG7XrixtgI81CB41ixv_b5wCMeZul4-5qbEA=s88-c-k-c0x00ffffff-no-rj</v>
      </c>
      <c r="G103" s="66"/>
      <c r="H103" s="70" t="s">
        <v>935</v>
      </c>
      <c r="I103" s="71"/>
      <c r="J103" s="71" t="s">
        <v>159</v>
      </c>
      <c r="K103" s="70" t="s">
        <v>935</v>
      </c>
      <c r="L103" s="74">
        <v>1</v>
      </c>
      <c r="M103" s="75">
        <v>7681.79296875</v>
      </c>
      <c r="N103" s="75">
        <v>4850.32177734375</v>
      </c>
      <c r="O103" s="76"/>
      <c r="P103" s="77"/>
      <c r="Q103" s="77"/>
      <c r="R103" s="89"/>
      <c r="S103" s="49">
        <v>0</v>
      </c>
      <c r="T103" s="49">
        <v>1</v>
      </c>
      <c r="U103" s="50">
        <v>0</v>
      </c>
      <c r="V103" s="50">
        <v>0.121339</v>
      </c>
      <c r="W103" s="50">
        <v>0.001293</v>
      </c>
      <c r="X103" s="50">
        <v>0.00393</v>
      </c>
      <c r="Y103" s="50">
        <v>0</v>
      </c>
      <c r="Z103" s="50">
        <v>0</v>
      </c>
      <c r="AA103" s="72">
        <v>103</v>
      </c>
      <c r="AB103" s="72"/>
      <c r="AC103" s="73"/>
      <c r="AD103" s="80" t="s">
        <v>935</v>
      </c>
      <c r="AE103" s="80"/>
      <c r="AF103" s="80"/>
      <c r="AG103" s="80"/>
      <c r="AH103" s="80"/>
      <c r="AI103" s="80"/>
      <c r="AJ103" s="87">
        <v>41908.727534722224</v>
      </c>
      <c r="AK103" s="85" t="str">
        <f>HYPERLINK("https://yt3.ggpht.com/ytc/AKedOLT6TMRG7XrixtgI81CB41ixv_b5wCMeZul4-5qbEA=s88-c-k-c0x00ffffff-no-rj")</f>
        <v>https://yt3.ggpht.com/ytc/AKedOLT6TMRG7XrixtgI81CB41ixv_b5wCMeZul4-5qbEA=s88-c-k-c0x00ffffff-no-rj</v>
      </c>
      <c r="AL103" s="80">
        <v>515</v>
      </c>
      <c r="AM103" s="80">
        <v>0</v>
      </c>
      <c r="AN103" s="80">
        <v>3</v>
      </c>
      <c r="AO103" s="80" t="b">
        <v>0</v>
      </c>
      <c r="AP103" s="80">
        <v>6</v>
      </c>
      <c r="AQ103" s="80"/>
      <c r="AR103" s="80"/>
      <c r="AS103" s="80" t="s">
        <v>1376</v>
      </c>
      <c r="AT103" s="85" t="str">
        <f>HYPERLINK("https://www.youtube.com/channel/UCh3yYzeRVs-FINrguoLPzjA")</f>
        <v>https://www.youtube.com/channel/UCh3yYzeRVs-FINrguoLPzjA</v>
      </c>
      <c r="AU103" s="80" t="str">
        <f>REPLACE(INDEX(GroupVertices[Group],MATCH(Vertices[[#This Row],[Vertex]],GroupVertices[Vertex],0)),1,1,"")</f>
        <v>7</v>
      </c>
      <c r="AV103" s="49">
        <v>0</v>
      </c>
      <c r="AW103" s="50">
        <v>0</v>
      </c>
      <c r="AX103" s="49">
        <v>0</v>
      </c>
      <c r="AY103" s="50">
        <v>0</v>
      </c>
      <c r="AZ103" s="49">
        <v>0</v>
      </c>
      <c r="BA103" s="50">
        <v>0</v>
      </c>
      <c r="BB103" s="49">
        <v>12</v>
      </c>
      <c r="BC103" s="50">
        <v>100</v>
      </c>
      <c r="BD103" s="49">
        <v>12</v>
      </c>
      <c r="BE103" s="49"/>
      <c r="BF103" s="49"/>
      <c r="BG103" s="49"/>
      <c r="BH103" s="49"/>
      <c r="BI103" s="49"/>
      <c r="BJ103" s="49"/>
      <c r="BK103" s="111" t="s">
        <v>2436</v>
      </c>
      <c r="BL103" s="111" t="s">
        <v>2436</v>
      </c>
      <c r="BM103" s="111" t="s">
        <v>2626</v>
      </c>
      <c r="BN103" s="111" t="s">
        <v>2626</v>
      </c>
      <c r="BO103" s="2"/>
      <c r="BP103" s="3"/>
      <c r="BQ103" s="3"/>
      <c r="BR103" s="3"/>
      <c r="BS103" s="3"/>
    </row>
    <row r="104" spans="1:71" ht="15">
      <c r="A104" s="65" t="s">
        <v>423</v>
      </c>
      <c r="B104" s="66"/>
      <c r="C104" s="66"/>
      <c r="D104" s="67">
        <v>150</v>
      </c>
      <c r="E104" s="69"/>
      <c r="F104" s="103" t="str">
        <f>HYPERLINK("https://yt3.ggpht.com/ytc/AKedOLTUH2rqUXaeaGEdtEbpuBCQh6G2HBXItMjO3R9wXg=s88-c-k-c0x00ffffff-no-rj")</f>
        <v>https://yt3.ggpht.com/ytc/AKedOLTUH2rqUXaeaGEdtEbpuBCQh6G2HBXItMjO3R9wXg=s88-c-k-c0x00ffffff-no-rj</v>
      </c>
      <c r="G104" s="66"/>
      <c r="H104" s="70" t="s">
        <v>936</v>
      </c>
      <c r="I104" s="71"/>
      <c r="J104" s="71" t="s">
        <v>159</v>
      </c>
      <c r="K104" s="70" t="s">
        <v>936</v>
      </c>
      <c r="L104" s="74">
        <v>1</v>
      </c>
      <c r="M104" s="75">
        <v>6163.046875</v>
      </c>
      <c r="N104" s="75">
        <v>4954.9345703125</v>
      </c>
      <c r="O104" s="76"/>
      <c r="P104" s="77"/>
      <c r="Q104" s="77"/>
      <c r="R104" s="89"/>
      <c r="S104" s="49">
        <v>0</v>
      </c>
      <c r="T104" s="49">
        <v>1</v>
      </c>
      <c r="U104" s="50">
        <v>0</v>
      </c>
      <c r="V104" s="50">
        <v>0.121339</v>
      </c>
      <c r="W104" s="50">
        <v>0.001293</v>
      </c>
      <c r="X104" s="50">
        <v>0.00393</v>
      </c>
      <c r="Y104" s="50">
        <v>0</v>
      </c>
      <c r="Z104" s="50">
        <v>0</v>
      </c>
      <c r="AA104" s="72">
        <v>104</v>
      </c>
      <c r="AB104" s="72"/>
      <c r="AC104" s="73"/>
      <c r="AD104" s="80" t="s">
        <v>936</v>
      </c>
      <c r="AE104" s="80"/>
      <c r="AF104" s="80"/>
      <c r="AG104" s="80"/>
      <c r="AH104" s="80"/>
      <c r="AI104" s="80"/>
      <c r="AJ104" s="87">
        <v>39542.09347222222</v>
      </c>
      <c r="AK104" s="85" t="str">
        <f>HYPERLINK("https://yt3.ggpht.com/ytc/AKedOLTUH2rqUXaeaGEdtEbpuBCQh6G2HBXItMjO3R9wXg=s88-c-k-c0x00ffffff-no-rj")</f>
        <v>https://yt3.ggpht.com/ytc/AKedOLTUH2rqUXaeaGEdtEbpuBCQh6G2HBXItMjO3R9wXg=s88-c-k-c0x00ffffff-no-rj</v>
      </c>
      <c r="AL104" s="80">
        <v>0</v>
      </c>
      <c r="AM104" s="80">
        <v>0</v>
      </c>
      <c r="AN104" s="80">
        <v>1</v>
      </c>
      <c r="AO104" s="80" t="b">
        <v>0</v>
      </c>
      <c r="AP104" s="80">
        <v>0</v>
      </c>
      <c r="AQ104" s="80"/>
      <c r="AR104" s="80"/>
      <c r="AS104" s="80" t="s">
        <v>1376</v>
      </c>
      <c r="AT104" s="85" t="str">
        <f>HYPERLINK("https://www.youtube.com/channel/UCixxAbFxgX_ukjZQmAnkSPw")</f>
        <v>https://www.youtube.com/channel/UCixxAbFxgX_ukjZQmAnkSPw</v>
      </c>
      <c r="AU104" s="80" t="str">
        <f>REPLACE(INDEX(GroupVertices[Group],MATCH(Vertices[[#This Row],[Vertex]],GroupVertices[Vertex],0)),1,1,"")</f>
        <v>7</v>
      </c>
      <c r="AV104" s="49">
        <v>0</v>
      </c>
      <c r="AW104" s="50">
        <v>0</v>
      </c>
      <c r="AX104" s="49">
        <v>0</v>
      </c>
      <c r="AY104" s="50">
        <v>0</v>
      </c>
      <c r="AZ104" s="49">
        <v>0</v>
      </c>
      <c r="BA104" s="50">
        <v>0</v>
      </c>
      <c r="BB104" s="49">
        <v>12</v>
      </c>
      <c r="BC104" s="50">
        <v>100</v>
      </c>
      <c r="BD104" s="49">
        <v>12</v>
      </c>
      <c r="BE104" s="49"/>
      <c r="BF104" s="49"/>
      <c r="BG104" s="49"/>
      <c r="BH104" s="49"/>
      <c r="BI104" s="49"/>
      <c r="BJ104" s="49"/>
      <c r="BK104" s="111" t="s">
        <v>2437</v>
      </c>
      <c r="BL104" s="111" t="s">
        <v>2437</v>
      </c>
      <c r="BM104" s="111" t="s">
        <v>2627</v>
      </c>
      <c r="BN104" s="111" t="s">
        <v>2627</v>
      </c>
      <c r="BO104" s="2"/>
      <c r="BP104" s="3"/>
      <c r="BQ104" s="3"/>
      <c r="BR104" s="3"/>
      <c r="BS104" s="3"/>
    </row>
    <row r="105" spans="1:71" ht="15">
      <c r="A105" s="65" t="s">
        <v>424</v>
      </c>
      <c r="B105" s="66"/>
      <c r="C105" s="66"/>
      <c r="D105" s="67">
        <v>150</v>
      </c>
      <c r="E105" s="69"/>
      <c r="F105" s="103" t="str">
        <f>HYPERLINK("https://yt3.ggpht.com/ytc/AKedOLQgiUiXiD6IcaiDQ-qpsCFiltpAMvO6YlxXkA_Y-QI=s88-c-k-c0x00ffffff-no-rj")</f>
        <v>https://yt3.ggpht.com/ytc/AKedOLQgiUiXiD6IcaiDQ-qpsCFiltpAMvO6YlxXkA_Y-QI=s88-c-k-c0x00ffffff-no-rj</v>
      </c>
      <c r="G105" s="66"/>
      <c r="H105" s="70" t="s">
        <v>937</v>
      </c>
      <c r="I105" s="71"/>
      <c r="J105" s="71" t="s">
        <v>159</v>
      </c>
      <c r="K105" s="70" t="s">
        <v>937</v>
      </c>
      <c r="L105" s="74">
        <v>1</v>
      </c>
      <c r="M105" s="75">
        <v>8183.89501953125</v>
      </c>
      <c r="N105" s="75">
        <v>5165.6201171875</v>
      </c>
      <c r="O105" s="76"/>
      <c r="P105" s="77"/>
      <c r="Q105" s="77"/>
      <c r="R105" s="89"/>
      <c r="S105" s="49">
        <v>0</v>
      </c>
      <c r="T105" s="49">
        <v>1</v>
      </c>
      <c r="U105" s="50">
        <v>0</v>
      </c>
      <c r="V105" s="50">
        <v>0.121339</v>
      </c>
      <c r="W105" s="50">
        <v>0.001293</v>
      </c>
      <c r="X105" s="50">
        <v>0.00393</v>
      </c>
      <c r="Y105" s="50">
        <v>0</v>
      </c>
      <c r="Z105" s="50">
        <v>0</v>
      </c>
      <c r="AA105" s="72">
        <v>105</v>
      </c>
      <c r="AB105" s="72"/>
      <c r="AC105" s="73"/>
      <c r="AD105" s="80" t="s">
        <v>937</v>
      </c>
      <c r="AE105" s="80"/>
      <c r="AF105" s="80"/>
      <c r="AG105" s="80"/>
      <c r="AH105" s="80"/>
      <c r="AI105" s="80" t="s">
        <v>1357</v>
      </c>
      <c r="AJ105" s="87">
        <v>39755.862175925926</v>
      </c>
      <c r="AK105" s="85" t="str">
        <f>HYPERLINK("https://yt3.ggpht.com/ytc/AKedOLQgiUiXiD6IcaiDQ-qpsCFiltpAMvO6YlxXkA_Y-QI=s88-c-k-c0x00ffffff-no-rj")</f>
        <v>https://yt3.ggpht.com/ytc/AKedOLQgiUiXiD6IcaiDQ-qpsCFiltpAMvO6YlxXkA_Y-QI=s88-c-k-c0x00ffffff-no-rj</v>
      </c>
      <c r="AL105" s="80">
        <v>251</v>
      </c>
      <c r="AM105" s="80">
        <v>0</v>
      </c>
      <c r="AN105" s="80">
        <v>10</v>
      </c>
      <c r="AO105" s="80" t="b">
        <v>0</v>
      </c>
      <c r="AP105" s="80">
        <v>4</v>
      </c>
      <c r="AQ105" s="80"/>
      <c r="AR105" s="80"/>
      <c r="AS105" s="80" t="s">
        <v>1376</v>
      </c>
      <c r="AT105" s="85" t="str">
        <f>HYPERLINK("https://www.youtube.com/channel/UCI9yBt6c5JsNA4ojCmidRiQ")</f>
        <v>https://www.youtube.com/channel/UCI9yBt6c5JsNA4ojCmidRiQ</v>
      </c>
      <c r="AU105" s="80" t="str">
        <f>REPLACE(INDEX(GroupVertices[Group],MATCH(Vertices[[#This Row],[Vertex]],GroupVertices[Vertex],0)),1,1,"")</f>
        <v>7</v>
      </c>
      <c r="AV105" s="49">
        <v>2</v>
      </c>
      <c r="AW105" s="50">
        <v>28.571428571428573</v>
      </c>
      <c r="AX105" s="49">
        <v>0</v>
      </c>
      <c r="AY105" s="50">
        <v>0</v>
      </c>
      <c r="AZ105" s="49">
        <v>0</v>
      </c>
      <c r="BA105" s="50">
        <v>0</v>
      </c>
      <c r="BB105" s="49">
        <v>5</v>
      </c>
      <c r="BC105" s="50">
        <v>71.42857142857143</v>
      </c>
      <c r="BD105" s="49">
        <v>7</v>
      </c>
      <c r="BE105" s="49"/>
      <c r="BF105" s="49"/>
      <c r="BG105" s="49"/>
      <c r="BH105" s="49"/>
      <c r="BI105" s="49"/>
      <c r="BJ105" s="49"/>
      <c r="BK105" s="111" t="s">
        <v>2438</v>
      </c>
      <c r="BL105" s="111" t="s">
        <v>2438</v>
      </c>
      <c r="BM105" s="111" t="s">
        <v>2628</v>
      </c>
      <c r="BN105" s="111" t="s">
        <v>2628</v>
      </c>
      <c r="BO105" s="2"/>
      <c r="BP105" s="3"/>
      <c r="BQ105" s="3"/>
      <c r="BR105" s="3"/>
      <c r="BS105" s="3"/>
    </row>
    <row r="106" spans="1:71" ht="15">
      <c r="A106" s="65" t="s">
        <v>425</v>
      </c>
      <c r="B106" s="66"/>
      <c r="C106" s="66"/>
      <c r="D106" s="67">
        <v>150</v>
      </c>
      <c r="E106" s="69"/>
      <c r="F106" s="103" t="str">
        <f>HYPERLINK("https://yt3.ggpht.com/ytc/AKedOLQJXWohZlC2js2TInzsw3gQLGvZVMTWBACw-Q=s88-c-k-c0x00ffffff-no-rj")</f>
        <v>https://yt3.ggpht.com/ytc/AKedOLQJXWohZlC2js2TInzsw3gQLGvZVMTWBACw-Q=s88-c-k-c0x00ffffff-no-rj</v>
      </c>
      <c r="G106" s="66"/>
      <c r="H106" s="70" t="s">
        <v>938</v>
      </c>
      <c r="I106" s="71"/>
      <c r="J106" s="71" t="s">
        <v>159</v>
      </c>
      <c r="K106" s="70" t="s">
        <v>938</v>
      </c>
      <c r="L106" s="74">
        <v>1</v>
      </c>
      <c r="M106" s="75">
        <v>6230.87353515625</v>
      </c>
      <c r="N106" s="75">
        <v>5660.75244140625</v>
      </c>
      <c r="O106" s="76"/>
      <c r="P106" s="77"/>
      <c r="Q106" s="77"/>
      <c r="R106" s="89"/>
      <c r="S106" s="49">
        <v>0</v>
      </c>
      <c r="T106" s="49">
        <v>1</v>
      </c>
      <c r="U106" s="50">
        <v>0</v>
      </c>
      <c r="V106" s="50">
        <v>0.121339</v>
      </c>
      <c r="W106" s="50">
        <v>0.001293</v>
      </c>
      <c r="X106" s="50">
        <v>0.00393</v>
      </c>
      <c r="Y106" s="50">
        <v>0</v>
      </c>
      <c r="Z106" s="50">
        <v>0</v>
      </c>
      <c r="AA106" s="72">
        <v>106</v>
      </c>
      <c r="AB106" s="72"/>
      <c r="AC106" s="73"/>
      <c r="AD106" s="80" t="s">
        <v>938</v>
      </c>
      <c r="AE106" s="80"/>
      <c r="AF106" s="80"/>
      <c r="AG106" s="80"/>
      <c r="AH106" s="80"/>
      <c r="AI106" s="80"/>
      <c r="AJ106" s="87">
        <v>40838.83972222222</v>
      </c>
      <c r="AK106" s="85" t="str">
        <f>HYPERLINK("https://yt3.ggpht.com/ytc/AKedOLQJXWohZlC2js2TInzsw3gQLGvZVMTWBACw-Q=s88-c-k-c0x00ffffff-no-rj")</f>
        <v>https://yt3.ggpht.com/ytc/AKedOLQJXWohZlC2js2TInzsw3gQLGvZVMTWBACw-Q=s88-c-k-c0x00ffffff-no-rj</v>
      </c>
      <c r="AL106" s="80">
        <v>0</v>
      </c>
      <c r="AM106" s="80">
        <v>0</v>
      </c>
      <c r="AN106" s="80">
        <v>0</v>
      </c>
      <c r="AO106" s="80" t="b">
        <v>0</v>
      </c>
      <c r="AP106" s="80">
        <v>0</v>
      </c>
      <c r="AQ106" s="80"/>
      <c r="AR106" s="80"/>
      <c r="AS106" s="80" t="s">
        <v>1376</v>
      </c>
      <c r="AT106" s="85" t="str">
        <f>HYPERLINK("https://www.youtube.com/channel/UCKuZZ1l9Em5c5WYrPKvLJWg")</f>
        <v>https://www.youtube.com/channel/UCKuZZ1l9Em5c5WYrPKvLJWg</v>
      </c>
      <c r="AU106" s="80" t="str">
        <f>REPLACE(INDEX(GroupVertices[Group],MATCH(Vertices[[#This Row],[Vertex]],GroupVertices[Vertex],0)),1,1,"")</f>
        <v>7</v>
      </c>
      <c r="AV106" s="49">
        <v>2</v>
      </c>
      <c r="AW106" s="50">
        <v>50</v>
      </c>
      <c r="AX106" s="49">
        <v>0</v>
      </c>
      <c r="AY106" s="50">
        <v>0</v>
      </c>
      <c r="AZ106" s="49">
        <v>0</v>
      </c>
      <c r="BA106" s="50">
        <v>0</v>
      </c>
      <c r="BB106" s="49">
        <v>2</v>
      </c>
      <c r="BC106" s="50">
        <v>50</v>
      </c>
      <c r="BD106" s="49">
        <v>4</v>
      </c>
      <c r="BE106" s="49"/>
      <c r="BF106" s="49"/>
      <c r="BG106" s="49"/>
      <c r="BH106" s="49"/>
      <c r="BI106" s="49"/>
      <c r="BJ106" s="49"/>
      <c r="BK106" s="111" t="s">
        <v>1454</v>
      </c>
      <c r="BL106" s="111" t="s">
        <v>1454</v>
      </c>
      <c r="BM106" s="111" t="s">
        <v>1239</v>
      </c>
      <c r="BN106" s="111" t="s">
        <v>1239</v>
      </c>
      <c r="BO106" s="2"/>
      <c r="BP106" s="3"/>
      <c r="BQ106" s="3"/>
      <c r="BR106" s="3"/>
      <c r="BS106" s="3"/>
    </row>
    <row r="107" spans="1:71" ht="15">
      <c r="A107" s="65" t="s">
        <v>426</v>
      </c>
      <c r="B107" s="66"/>
      <c r="C107" s="66"/>
      <c r="D107" s="67">
        <v>150</v>
      </c>
      <c r="E107" s="69"/>
      <c r="F107" s="103" t="str">
        <f>HYPERLINK("https://yt3.ggpht.com/ytc/AKedOLSFuQ-53UlBSkCWkEWMfrY2hHX6ZkJ7jcJbeG25hA=s88-c-k-c0x00ffffff-no-rj")</f>
        <v>https://yt3.ggpht.com/ytc/AKedOLSFuQ-53UlBSkCWkEWMfrY2hHX6ZkJ7jcJbeG25hA=s88-c-k-c0x00ffffff-no-rj</v>
      </c>
      <c r="G107" s="66"/>
      <c r="H107" s="70" t="s">
        <v>939</v>
      </c>
      <c r="I107" s="71"/>
      <c r="J107" s="71" t="s">
        <v>159</v>
      </c>
      <c r="K107" s="70" t="s">
        <v>939</v>
      </c>
      <c r="L107" s="74">
        <v>1</v>
      </c>
      <c r="M107" s="75">
        <v>7260.42041015625</v>
      </c>
      <c r="N107" s="75">
        <v>1311.1436767578125</v>
      </c>
      <c r="O107" s="76"/>
      <c r="P107" s="77"/>
      <c r="Q107" s="77"/>
      <c r="R107" s="89"/>
      <c r="S107" s="49">
        <v>0</v>
      </c>
      <c r="T107" s="49">
        <v>1</v>
      </c>
      <c r="U107" s="50">
        <v>0</v>
      </c>
      <c r="V107" s="50">
        <v>0.005979</v>
      </c>
      <c r="W107" s="50">
        <v>0</v>
      </c>
      <c r="X107" s="50">
        <v>0.004058</v>
      </c>
      <c r="Y107" s="50">
        <v>0</v>
      </c>
      <c r="Z107" s="50">
        <v>0</v>
      </c>
      <c r="AA107" s="72">
        <v>107</v>
      </c>
      <c r="AB107" s="72"/>
      <c r="AC107" s="73"/>
      <c r="AD107" s="80" t="s">
        <v>939</v>
      </c>
      <c r="AE107" s="80"/>
      <c r="AF107" s="80"/>
      <c r="AG107" s="80"/>
      <c r="AH107" s="80"/>
      <c r="AI107" s="80"/>
      <c r="AJ107" s="87">
        <v>44033.65892361111</v>
      </c>
      <c r="AK107" s="85" t="str">
        <f>HYPERLINK("https://yt3.ggpht.com/ytc/AKedOLSFuQ-53UlBSkCWkEWMfrY2hHX6ZkJ7jcJbeG25hA=s88-c-k-c0x00ffffff-no-rj")</f>
        <v>https://yt3.ggpht.com/ytc/AKedOLSFuQ-53UlBSkCWkEWMfrY2hHX6ZkJ7jcJbeG25hA=s88-c-k-c0x00ffffff-no-rj</v>
      </c>
      <c r="AL107" s="80">
        <v>93</v>
      </c>
      <c r="AM107" s="80">
        <v>0</v>
      </c>
      <c r="AN107" s="80">
        <v>2</v>
      </c>
      <c r="AO107" s="80" t="b">
        <v>0</v>
      </c>
      <c r="AP107" s="80">
        <v>1</v>
      </c>
      <c r="AQ107" s="80"/>
      <c r="AR107" s="80"/>
      <c r="AS107" s="80" t="s">
        <v>1376</v>
      </c>
      <c r="AT107" s="85" t="str">
        <f>HYPERLINK("https://www.youtube.com/channel/UC5lFWTaAy8fFiZpMxEhN98A")</f>
        <v>https://www.youtube.com/channel/UC5lFWTaAy8fFiZpMxEhN98A</v>
      </c>
      <c r="AU107" s="80" t="str">
        <f>REPLACE(INDEX(GroupVertices[Group],MATCH(Vertices[[#This Row],[Vertex]],GroupVertices[Vertex],0)),1,1,"")</f>
        <v>15</v>
      </c>
      <c r="AV107" s="49">
        <v>0</v>
      </c>
      <c r="AW107" s="50">
        <v>0</v>
      </c>
      <c r="AX107" s="49">
        <v>1</v>
      </c>
      <c r="AY107" s="50">
        <v>12.5</v>
      </c>
      <c r="AZ107" s="49">
        <v>0</v>
      </c>
      <c r="BA107" s="50">
        <v>0</v>
      </c>
      <c r="BB107" s="49">
        <v>7</v>
      </c>
      <c r="BC107" s="50">
        <v>87.5</v>
      </c>
      <c r="BD107" s="49">
        <v>8</v>
      </c>
      <c r="BE107" s="49"/>
      <c r="BF107" s="49"/>
      <c r="BG107" s="49"/>
      <c r="BH107" s="49"/>
      <c r="BI107" s="49"/>
      <c r="BJ107" s="49"/>
      <c r="BK107" s="111" t="s">
        <v>2439</v>
      </c>
      <c r="BL107" s="111" t="s">
        <v>2439</v>
      </c>
      <c r="BM107" s="111" t="s">
        <v>2629</v>
      </c>
      <c r="BN107" s="111" t="s">
        <v>2629</v>
      </c>
      <c r="BO107" s="2"/>
      <c r="BP107" s="3"/>
      <c r="BQ107" s="3"/>
      <c r="BR107" s="3"/>
      <c r="BS107" s="3"/>
    </row>
    <row r="108" spans="1:71" ht="15">
      <c r="A108" s="65" t="s">
        <v>552</v>
      </c>
      <c r="B108" s="66"/>
      <c r="C108" s="66"/>
      <c r="D108" s="67">
        <v>151.62835249042146</v>
      </c>
      <c r="E108" s="69"/>
      <c r="F108" s="103" t="str">
        <f>HYPERLINK("https://yt3.ggpht.com/ytc/AKedOLSlNQnndFizBierBRYx6Rhqx41H4Gimqmtv4wAoag=s88-c-k-c0x00ffffff-no-rj")</f>
        <v>https://yt3.ggpht.com/ytc/AKedOLSlNQnndFizBierBRYx6Rhqx41H4Gimqmtv4wAoag=s88-c-k-c0x00ffffff-no-rj</v>
      </c>
      <c r="G108" s="66"/>
      <c r="H108" s="70" t="s">
        <v>1266</v>
      </c>
      <c r="I108" s="71"/>
      <c r="J108" s="71" t="s">
        <v>75</v>
      </c>
      <c r="K108" s="70" t="s">
        <v>1266</v>
      </c>
      <c r="L108" s="74">
        <v>2.4422792570429217</v>
      </c>
      <c r="M108" s="75">
        <v>7260.42041015625</v>
      </c>
      <c r="N108" s="75">
        <v>379.8636779785156</v>
      </c>
      <c r="O108" s="76"/>
      <c r="P108" s="77"/>
      <c r="Q108" s="77"/>
      <c r="R108" s="89"/>
      <c r="S108" s="49">
        <v>3</v>
      </c>
      <c r="T108" s="49">
        <v>1</v>
      </c>
      <c r="U108" s="50">
        <v>2</v>
      </c>
      <c r="V108" s="50">
        <v>0.008969</v>
      </c>
      <c r="W108" s="50">
        <v>0</v>
      </c>
      <c r="X108" s="50">
        <v>0.005276</v>
      </c>
      <c r="Y108" s="50">
        <v>0</v>
      </c>
      <c r="Z108" s="50">
        <v>0</v>
      </c>
      <c r="AA108" s="72">
        <v>108</v>
      </c>
      <c r="AB108" s="72"/>
      <c r="AC108" s="73"/>
      <c r="AD108" s="80" t="s">
        <v>1266</v>
      </c>
      <c r="AE108" s="80" t="s">
        <v>1309</v>
      </c>
      <c r="AF108" s="80"/>
      <c r="AG108" s="80"/>
      <c r="AH108" s="80"/>
      <c r="AI108" s="80"/>
      <c r="AJ108" s="87">
        <v>43597.034733796296</v>
      </c>
      <c r="AK108" s="85" t="str">
        <f>HYPERLINK("https://yt3.ggpht.com/ytc/AKedOLSlNQnndFizBierBRYx6Rhqx41H4Gimqmtv4wAoag=s88-c-k-c0x00ffffff-no-rj")</f>
        <v>https://yt3.ggpht.com/ytc/AKedOLSlNQnndFizBierBRYx6Rhqx41H4Gimqmtv4wAoag=s88-c-k-c0x00ffffff-no-rj</v>
      </c>
      <c r="AL108" s="80">
        <v>14545</v>
      </c>
      <c r="AM108" s="80">
        <v>0</v>
      </c>
      <c r="AN108" s="80">
        <v>177</v>
      </c>
      <c r="AO108" s="80" t="b">
        <v>0</v>
      </c>
      <c r="AP108" s="80">
        <v>279</v>
      </c>
      <c r="AQ108" s="80"/>
      <c r="AR108" s="80"/>
      <c r="AS108" s="80" t="s">
        <v>1376</v>
      </c>
      <c r="AT108" s="85" t="str">
        <f>HYPERLINK("https://www.youtube.com/channel/UCGajcAd0-l59-ly_FeDMYXw")</f>
        <v>https://www.youtube.com/channel/UCGajcAd0-l59-ly_FeDMYXw</v>
      </c>
      <c r="AU108" s="80" t="str">
        <f>REPLACE(INDEX(GroupVertices[Group],MATCH(Vertices[[#This Row],[Vertex]],GroupVertices[Vertex],0)),1,1,"")</f>
        <v>15</v>
      </c>
      <c r="AV108" s="49"/>
      <c r="AW108" s="50"/>
      <c r="AX108" s="49"/>
      <c r="AY108" s="50"/>
      <c r="AZ108" s="49"/>
      <c r="BA108" s="50"/>
      <c r="BB108" s="49"/>
      <c r="BC108" s="50"/>
      <c r="BD108" s="49"/>
      <c r="BE108" s="49"/>
      <c r="BF108" s="49"/>
      <c r="BG108" s="49"/>
      <c r="BH108" s="49"/>
      <c r="BI108" s="49"/>
      <c r="BJ108" s="49"/>
      <c r="BK108" s="111" t="s">
        <v>1239</v>
      </c>
      <c r="BL108" s="111" t="s">
        <v>1239</v>
      </c>
      <c r="BM108" s="111" t="s">
        <v>1239</v>
      </c>
      <c r="BN108" s="111" t="s">
        <v>1239</v>
      </c>
      <c r="BO108" s="2"/>
      <c r="BP108" s="3"/>
      <c r="BQ108" s="3"/>
      <c r="BR108" s="3"/>
      <c r="BS108" s="3"/>
    </row>
    <row r="109" spans="1:71" ht="15">
      <c r="A109" s="65" t="s">
        <v>427</v>
      </c>
      <c r="B109" s="66"/>
      <c r="C109" s="66"/>
      <c r="D109" s="67">
        <v>150</v>
      </c>
      <c r="E109" s="69"/>
      <c r="F109" s="103" t="str">
        <f>HYPERLINK("https://yt3.ggpht.com/ytc/AKedOLTK3b-x8fC8Kxzkku_R_JMpL4zYmYaThdE2Tax-=s88-c-k-c0x00ffffff-no-rj")</f>
        <v>https://yt3.ggpht.com/ytc/AKedOLTK3b-x8fC8Kxzkku_R_JMpL4zYmYaThdE2Tax-=s88-c-k-c0x00ffffff-no-rj</v>
      </c>
      <c r="G109" s="66"/>
      <c r="H109" s="70" t="s">
        <v>940</v>
      </c>
      <c r="I109" s="71"/>
      <c r="J109" s="71" t="s">
        <v>159</v>
      </c>
      <c r="K109" s="70" t="s">
        <v>940</v>
      </c>
      <c r="L109" s="74">
        <v>1</v>
      </c>
      <c r="M109" s="75">
        <v>7260.42041015625</v>
      </c>
      <c r="N109" s="75">
        <v>845.503662109375</v>
      </c>
      <c r="O109" s="76"/>
      <c r="P109" s="77"/>
      <c r="Q109" s="77"/>
      <c r="R109" s="89"/>
      <c r="S109" s="49">
        <v>0</v>
      </c>
      <c r="T109" s="49">
        <v>1</v>
      </c>
      <c r="U109" s="50">
        <v>0</v>
      </c>
      <c r="V109" s="50">
        <v>0.005979</v>
      </c>
      <c r="W109" s="50">
        <v>0</v>
      </c>
      <c r="X109" s="50">
        <v>0.004058</v>
      </c>
      <c r="Y109" s="50">
        <v>0</v>
      </c>
      <c r="Z109" s="50">
        <v>0</v>
      </c>
      <c r="AA109" s="72">
        <v>109</v>
      </c>
      <c r="AB109" s="72"/>
      <c r="AC109" s="73"/>
      <c r="AD109" s="80" t="s">
        <v>940</v>
      </c>
      <c r="AE109" s="80"/>
      <c r="AF109" s="80"/>
      <c r="AG109" s="80"/>
      <c r="AH109" s="80"/>
      <c r="AI109" s="80"/>
      <c r="AJ109" s="87">
        <v>44335.39126157408</v>
      </c>
      <c r="AK109" s="85" t="str">
        <f>HYPERLINK("https://yt3.ggpht.com/ytc/AKedOLTK3b-x8fC8Kxzkku_R_JMpL4zYmYaThdE2Tax-=s88-c-k-c0x00ffffff-no-rj")</f>
        <v>https://yt3.ggpht.com/ytc/AKedOLTK3b-x8fC8Kxzkku_R_JMpL4zYmYaThdE2Tax-=s88-c-k-c0x00ffffff-no-rj</v>
      </c>
      <c r="AL109" s="80">
        <v>0</v>
      </c>
      <c r="AM109" s="80">
        <v>0</v>
      </c>
      <c r="AN109" s="80">
        <v>0</v>
      </c>
      <c r="AO109" s="80" t="b">
        <v>0</v>
      </c>
      <c r="AP109" s="80">
        <v>0</v>
      </c>
      <c r="AQ109" s="80"/>
      <c r="AR109" s="80"/>
      <c r="AS109" s="80" t="s">
        <v>1376</v>
      </c>
      <c r="AT109" s="85" t="str">
        <f>HYPERLINK("https://www.youtube.com/channel/UCJL0AOQJZ0BewrdqUoIoqRw")</f>
        <v>https://www.youtube.com/channel/UCJL0AOQJZ0BewrdqUoIoqRw</v>
      </c>
      <c r="AU109" s="80" t="str">
        <f>REPLACE(INDEX(GroupVertices[Group],MATCH(Vertices[[#This Row],[Vertex]],GroupVertices[Vertex],0)),1,1,"")</f>
        <v>15</v>
      </c>
      <c r="AV109" s="49">
        <v>1</v>
      </c>
      <c r="AW109" s="50">
        <v>25</v>
      </c>
      <c r="AX109" s="49">
        <v>0</v>
      </c>
      <c r="AY109" s="50">
        <v>0</v>
      </c>
      <c r="AZ109" s="49">
        <v>0</v>
      </c>
      <c r="BA109" s="50">
        <v>0</v>
      </c>
      <c r="BB109" s="49">
        <v>3</v>
      </c>
      <c r="BC109" s="50">
        <v>75</v>
      </c>
      <c r="BD109" s="49">
        <v>4</v>
      </c>
      <c r="BE109" s="49"/>
      <c r="BF109" s="49"/>
      <c r="BG109" s="49"/>
      <c r="BH109" s="49"/>
      <c r="BI109" s="49"/>
      <c r="BJ109" s="49"/>
      <c r="BK109" s="111" t="s">
        <v>2440</v>
      </c>
      <c r="BL109" s="111" t="s">
        <v>2440</v>
      </c>
      <c r="BM109" s="111" t="s">
        <v>2630</v>
      </c>
      <c r="BN109" s="111" t="s">
        <v>2630</v>
      </c>
      <c r="BO109" s="2"/>
      <c r="BP109" s="3"/>
      <c r="BQ109" s="3"/>
      <c r="BR109" s="3"/>
      <c r="BS109" s="3"/>
    </row>
    <row r="110" spans="1:71" ht="15">
      <c r="A110" s="65" t="s">
        <v>428</v>
      </c>
      <c r="B110" s="66"/>
      <c r="C110" s="66"/>
      <c r="D110" s="67">
        <v>150</v>
      </c>
      <c r="E110" s="69"/>
      <c r="F110" s="103" t="str">
        <f>HYPERLINK("https://yt3.ggpht.com/ytc/AKedOLT0UkO-KOq5LZxC37ehc3rqWCXp3wCpK1Dr1D5-rg=s88-c-k-c0x00ffffff-no-rj")</f>
        <v>https://yt3.ggpht.com/ytc/AKedOLT0UkO-KOq5LZxC37ehc3rqWCXp3wCpK1Dr1D5-rg=s88-c-k-c0x00ffffff-no-rj</v>
      </c>
      <c r="G110" s="66"/>
      <c r="H110" s="70" t="s">
        <v>941</v>
      </c>
      <c r="I110" s="71"/>
      <c r="J110" s="71" t="s">
        <v>159</v>
      </c>
      <c r="K110" s="70" t="s">
        <v>941</v>
      </c>
      <c r="L110" s="74">
        <v>1</v>
      </c>
      <c r="M110" s="75">
        <v>8016.08935546875</v>
      </c>
      <c r="N110" s="75">
        <v>5537.6240234375</v>
      </c>
      <c r="O110" s="76"/>
      <c r="P110" s="77"/>
      <c r="Q110" s="77"/>
      <c r="R110" s="89"/>
      <c r="S110" s="49">
        <v>0</v>
      </c>
      <c r="T110" s="49">
        <v>1</v>
      </c>
      <c r="U110" s="50">
        <v>0</v>
      </c>
      <c r="V110" s="50">
        <v>0.121339</v>
      </c>
      <c r="W110" s="50">
        <v>0.001293</v>
      </c>
      <c r="X110" s="50">
        <v>0.00393</v>
      </c>
      <c r="Y110" s="50">
        <v>0</v>
      </c>
      <c r="Z110" s="50">
        <v>0</v>
      </c>
      <c r="AA110" s="72">
        <v>110</v>
      </c>
      <c r="AB110" s="72"/>
      <c r="AC110" s="73"/>
      <c r="AD110" s="80" t="s">
        <v>941</v>
      </c>
      <c r="AE110" s="80"/>
      <c r="AF110" s="80"/>
      <c r="AG110" s="80"/>
      <c r="AH110" s="80"/>
      <c r="AI110" s="80"/>
      <c r="AJ110" s="87">
        <v>41434.84957175926</v>
      </c>
      <c r="AK110" s="85" t="str">
        <f>HYPERLINK("https://yt3.ggpht.com/ytc/AKedOLT0UkO-KOq5LZxC37ehc3rqWCXp3wCpK1Dr1D5-rg=s88-c-k-c0x00ffffff-no-rj")</f>
        <v>https://yt3.ggpht.com/ytc/AKedOLT0UkO-KOq5LZxC37ehc3rqWCXp3wCpK1Dr1D5-rg=s88-c-k-c0x00ffffff-no-rj</v>
      </c>
      <c r="AL110" s="80">
        <v>508</v>
      </c>
      <c r="AM110" s="80">
        <v>0</v>
      </c>
      <c r="AN110" s="80">
        <v>0</v>
      </c>
      <c r="AO110" s="80" t="b">
        <v>1</v>
      </c>
      <c r="AP110" s="80">
        <v>8</v>
      </c>
      <c r="AQ110" s="80"/>
      <c r="AR110" s="80"/>
      <c r="AS110" s="80" t="s">
        <v>1376</v>
      </c>
      <c r="AT110" s="85" t="str">
        <f>HYPERLINK("https://www.youtube.com/channel/UCOTJh6zzR3-NAPJBNKaqOgw")</f>
        <v>https://www.youtube.com/channel/UCOTJh6zzR3-NAPJBNKaqOgw</v>
      </c>
      <c r="AU110" s="80" t="str">
        <f>REPLACE(INDEX(GroupVertices[Group],MATCH(Vertices[[#This Row],[Vertex]],GroupVertices[Vertex],0)),1,1,"")</f>
        <v>7</v>
      </c>
      <c r="AV110" s="49">
        <v>2</v>
      </c>
      <c r="AW110" s="50">
        <v>50</v>
      </c>
      <c r="AX110" s="49">
        <v>0</v>
      </c>
      <c r="AY110" s="50">
        <v>0</v>
      </c>
      <c r="AZ110" s="49">
        <v>0</v>
      </c>
      <c r="BA110" s="50">
        <v>0</v>
      </c>
      <c r="BB110" s="49">
        <v>2</v>
      </c>
      <c r="BC110" s="50">
        <v>50</v>
      </c>
      <c r="BD110" s="49">
        <v>4</v>
      </c>
      <c r="BE110" s="49"/>
      <c r="BF110" s="49"/>
      <c r="BG110" s="49"/>
      <c r="BH110" s="49"/>
      <c r="BI110" s="49"/>
      <c r="BJ110" s="49"/>
      <c r="BK110" s="111" t="s">
        <v>2441</v>
      </c>
      <c r="BL110" s="111" t="s">
        <v>2441</v>
      </c>
      <c r="BM110" s="111" t="s">
        <v>2631</v>
      </c>
      <c r="BN110" s="111" t="s">
        <v>2631</v>
      </c>
      <c r="BO110" s="2"/>
      <c r="BP110" s="3"/>
      <c r="BQ110" s="3"/>
      <c r="BR110" s="3"/>
      <c r="BS110" s="3"/>
    </row>
    <row r="111" spans="1:71" ht="15">
      <c r="A111" s="65" t="s">
        <v>429</v>
      </c>
      <c r="B111" s="66"/>
      <c r="C111" s="66"/>
      <c r="D111" s="67">
        <v>150</v>
      </c>
      <c r="E111" s="69"/>
      <c r="F111" s="103" t="str">
        <f>HYPERLINK("https://yt3.ggpht.com/ytc/AKedOLRq9ZA9p_sM9gVkIWf5khWFs05CIg-JF5pfzQ=s88-c-k-c0x00ffffff-no-rj")</f>
        <v>https://yt3.ggpht.com/ytc/AKedOLRq9ZA9p_sM9gVkIWf5khWFs05CIg-JF5pfzQ=s88-c-k-c0x00ffffff-no-rj</v>
      </c>
      <c r="G111" s="66"/>
      <c r="H111" s="70" t="s">
        <v>942</v>
      </c>
      <c r="I111" s="71"/>
      <c r="J111" s="71" t="s">
        <v>159</v>
      </c>
      <c r="K111" s="70" t="s">
        <v>942</v>
      </c>
      <c r="L111" s="74">
        <v>1</v>
      </c>
      <c r="M111" s="75">
        <v>7354.779296875</v>
      </c>
      <c r="N111" s="75">
        <v>6396.4189453125</v>
      </c>
      <c r="O111" s="76"/>
      <c r="P111" s="77"/>
      <c r="Q111" s="77"/>
      <c r="R111" s="89"/>
      <c r="S111" s="49">
        <v>0</v>
      </c>
      <c r="T111" s="49">
        <v>1</v>
      </c>
      <c r="U111" s="50">
        <v>0</v>
      </c>
      <c r="V111" s="50">
        <v>0.100706</v>
      </c>
      <c r="W111" s="50">
        <v>0.000147</v>
      </c>
      <c r="X111" s="50">
        <v>0.004136</v>
      </c>
      <c r="Y111" s="50">
        <v>0</v>
      </c>
      <c r="Z111" s="50">
        <v>0</v>
      </c>
      <c r="AA111" s="72">
        <v>111</v>
      </c>
      <c r="AB111" s="72"/>
      <c r="AC111" s="73"/>
      <c r="AD111" s="80" t="s">
        <v>942</v>
      </c>
      <c r="AE111" s="80"/>
      <c r="AF111" s="80"/>
      <c r="AG111" s="80"/>
      <c r="AH111" s="80"/>
      <c r="AI111" s="80"/>
      <c r="AJ111" s="87">
        <v>42345.134560185186</v>
      </c>
      <c r="AK111" s="85" t="str">
        <f>HYPERLINK("https://yt3.ggpht.com/ytc/AKedOLRq9ZA9p_sM9gVkIWf5khWFs05CIg-JF5pfzQ=s88-c-k-c0x00ffffff-no-rj")</f>
        <v>https://yt3.ggpht.com/ytc/AKedOLRq9ZA9p_sM9gVkIWf5khWFs05CIg-JF5pfzQ=s88-c-k-c0x00ffffff-no-rj</v>
      </c>
      <c r="AL111" s="80">
        <v>0</v>
      </c>
      <c r="AM111" s="80">
        <v>0</v>
      </c>
      <c r="AN111" s="80">
        <v>0</v>
      </c>
      <c r="AO111" s="80" t="b">
        <v>0</v>
      </c>
      <c r="AP111" s="80">
        <v>0</v>
      </c>
      <c r="AQ111" s="80"/>
      <c r="AR111" s="80"/>
      <c r="AS111" s="80" t="s">
        <v>1376</v>
      </c>
      <c r="AT111" s="85" t="str">
        <f>HYPERLINK("https://www.youtube.com/channel/UC0UMID05DoGXImC7u-VQ8cA")</f>
        <v>https://www.youtube.com/channel/UC0UMID05DoGXImC7u-VQ8cA</v>
      </c>
      <c r="AU111" s="80" t="str">
        <f>REPLACE(INDEX(GroupVertices[Group],MATCH(Vertices[[#This Row],[Vertex]],GroupVertices[Vertex],0)),1,1,"")</f>
        <v>7</v>
      </c>
      <c r="AV111" s="49">
        <v>1</v>
      </c>
      <c r="AW111" s="50">
        <v>3.5714285714285716</v>
      </c>
      <c r="AX111" s="49">
        <v>0</v>
      </c>
      <c r="AY111" s="50">
        <v>0</v>
      </c>
      <c r="AZ111" s="49">
        <v>0</v>
      </c>
      <c r="BA111" s="50">
        <v>0</v>
      </c>
      <c r="BB111" s="49">
        <v>27</v>
      </c>
      <c r="BC111" s="50">
        <v>96.42857142857143</v>
      </c>
      <c r="BD111" s="49">
        <v>28</v>
      </c>
      <c r="BE111" s="49"/>
      <c r="BF111" s="49"/>
      <c r="BG111" s="49"/>
      <c r="BH111" s="49"/>
      <c r="BI111" s="49"/>
      <c r="BJ111" s="49"/>
      <c r="BK111" s="111" t="s">
        <v>2442</v>
      </c>
      <c r="BL111" s="111" t="s">
        <v>2442</v>
      </c>
      <c r="BM111" s="111" t="s">
        <v>2632</v>
      </c>
      <c r="BN111" s="111" t="s">
        <v>2632</v>
      </c>
      <c r="BO111" s="2"/>
      <c r="BP111" s="3"/>
      <c r="BQ111" s="3"/>
      <c r="BR111" s="3"/>
      <c r="BS111" s="3"/>
    </row>
    <row r="112" spans="1:71" ht="15">
      <c r="A112" s="65" t="s">
        <v>431</v>
      </c>
      <c r="B112" s="66"/>
      <c r="C112" s="66"/>
      <c r="D112" s="67">
        <v>358.42911877394636</v>
      </c>
      <c r="E112" s="69"/>
      <c r="F112" s="103" t="str">
        <f>HYPERLINK("https://yt3.ggpht.com/ytc/AKedOLS77hqcdyqMRedmdUdEGobhuTAFXSjWduv0jQ=s88-c-k-c0x00ffffff-no-rj")</f>
        <v>https://yt3.ggpht.com/ytc/AKedOLS77hqcdyqMRedmdUdEGobhuTAFXSjWduv0jQ=s88-c-k-c0x00ffffff-no-rj</v>
      </c>
      <c r="G112" s="66"/>
      <c r="H112" s="70" t="s">
        <v>944</v>
      </c>
      <c r="I112" s="71"/>
      <c r="J112" s="71" t="s">
        <v>75</v>
      </c>
      <c r="K112" s="70" t="s">
        <v>944</v>
      </c>
      <c r="L112" s="74">
        <v>185.61174490149398</v>
      </c>
      <c r="M112" s="75">
        <v>7204.76416015625</v>
      </c>
      <c r="N112" s="75">
        <v>5879.59130859375</v>
      </c>
      <c r="O112" s="76"/>
      <c r="P112" s="77"/>
      <c r="Q112" s="77"/>
      <c r="R112" s="89"/>
      <c r="S112" s="49">
        <v>2</v>
      </c>
      <c r="T112" s="49">
        <v>1</v>
      </c>
      <c r="U112" s="50">
        <v>256</v>
      </c>
      <c r="V112" s="50">
        <v>0.121735</v>
      </c>
      <c r="W112" s="50">
        <v>0.00131</v>
      </c>
      <c r="X112" s="50">
        <v>0.00455</v>
      </c>
      <c r="Y112" s="50">
        <v>0</v>
      </c>
      <c r="Z112" s="50">
        <v>0.5</v>
      </c>
      <c r="AA112" s="72">
        <v>112</v>
      </c>
      <c r="AB112" s="72"/>
      <c r="AC112" s="73"/>
      <c r="AD112" s="80" t="s">
        <v>944</v>
      </c>
      <c r="AE112" s="80"/>
      <c r="AF112" s="80"/>
      <c r="AG112" s="80"/>
      <c r="AH112" s="80"/>
      <c r="AI112" s="80"/>
      <c r="AJ112" s="87">
        <v>40222.39488425926</v>
      </c>
      <c r="AK112" s="85" t="str">
        <f>HYPERLINK("https://yt3.ggpht.com/ytc/AKedOLS77hqcdyqMRedmdUdEGobhuTAFXSjWduv0jQ=s88-c-k-c0x00ffffff-no-rj")</f>
        <v>https://yt3.ggpht.com/ytc/AKedOLS77hqcdyqMRedmdUdEGobhuTAFXSjWduv0jQ=s88-c-k-c0x00ffffff-no-rj</v>
      </c>
      <c r="AL112" s="80">
        <v>0</v>
      </c>
      <c r="AM112" s="80">
        <v>0</v>
      </c>
      <c r="AN112" s="80">
        <v>1</v>
      </c>
      <c r="AO112" s="80" t="b">
        <v>0</v>
      </c>
      <c r="AP112" s="80">
        <v>0</v>
      </c>
      <c r="AQ112" s="80"/>
      <c r="AR112" s="80"/>
      <c r="AS112" s="80" t="s">
        <v>1376</v>
      </c>
      <c r="AT112" s="85" t="str">
        <f>HYPERLINK("https://www.youtube.com/channel/UCwya1YV0VVcNVA1ALPpaZ5g")</f>
        <v>https://www.youtube.com/channel/UCwya1YV0VVcNVA1ALPpaZ5g</v>
      </c>
      <c r="AU112" s="80" t="str">
        <f>REPLACE(INDEX(GroupVertices[Group],MATCH(Vertices[[#This Row],[Vertex]],GroupVertices[Vertex],0)),1,1,"")</f>
        <v>7</v>
      </c>
      <c r="AV112" s="49">
        <v>0</v>
      </c>
      <c r="AW112" s="50">
        <v>0</v>
      </c>
      <c r="AX112" s="49">
        <v>0</v>
      </c>
      <c r="AY112" s="50">
        <v>0</v>
      </c>
      <c r="AZ112" s="49">
        <v>0</v>
      </c>
      <c r="BA112" s="50">
        <v>0</v>
      </c>
      <c r="BB112" s="49">
        <v>10</v>
      </c>
      <c r="BC112" s="50">
        <v>100</v>
      </c>
      <c r="BD112" s="49">
        <v>10</v>
      </c>
      <c r="BE112" s="49"/>
      <c r="BF112" s="49"/>
      <c r="BG112" s="49"/>
      <c r="BH112" s="49"/>
      <c r="BI112" s="49"/>
      <c r="BJ112" s="49"/>
      <c r="BK112" s="111" t="s">
        <v>2443</v>
      </c>
      <c r="BL112" s="111" t="s">
        <v>2443</v>
      </c>
      <c r="BM112" s="111" t="s">
        <v>2633</v>
      </c>
      <c r="BN112" s="111" t="s">
        <v>2633</v>
      </c>
      <c r="BO112" s="2"/>
      <c r="BP112" s="3"/>
      <c r="BQ112" s="3"/>
      <c r="BR112" s="3"/>
      <c r="BS112" s="3"/>
    </row>
    <row r="113" spans="1:71" ht="15">
      <c r="A113" s="65" t="s">
        <v>432</v>
      </c>
      <c r="B113" s="66"/>
      <c r="C113" s="66"/>
      <c r="D113" s="67">
        <v>150</v>
      </c>
      <c r="E113" s="69"/>
      <c r="F113" s="103" t="str">
        <f>HYPERLINK("https://yt3.ggpht.com/ytc/AKedOLRTF2M2a9jEtTjjBK1KCtbTiyCbr6CavVbqdg=s88-c-k-c0x00ffffff-no-rj")</f>
        <v>https://yt3.ggpht.com/ytc/AKedOLRTF2M2a9jEtTjjBK1KCtbTiyCbr6CavVbqdg=s88-c-k-c0x00ffffff-no-rj</v>
      </c>
      <c r="G113" s="66"/>
      <c r="H113" s="70" t="s">
        <v>945</v>
      </c>
      <c r="I113" s="71"/>
      <c r="J113" s="71" t="s">
        <v>159</v>
      </c>
      <c r="K113" s="70" t="s">
        <v>945</v>
      </c>
      <c r="L113" s="74">
        <v>1</v>
      </c>
      <c r="M113" s="75">
        <v>2716.88134765625</v>
      </c>
      <c r="N113" s="75">
        <v>7159.53076171875</v>
      </c>
      <c r="O113" s="76"/>
      <c r="P113" s="77"/>
      <c r="Q113" s="77"/>
      <c r="R113" s="89"/>
      <c r="S113" s="49">
        <v>2</v>
      </c>
      <c r="T113" s="49">
        <v>2</v>
      </c>
      <c r="U113" s="50">
        <v>0</v>
      </c>
      <c r="V113" s="50">
        <v>0.189881</v>
      </c>
      <c r="W113" s="50">
        <v>0.090956</v>
      </c>
      <c r="X113" s="50">
        <v>0.004188</v>
      </c>
      <c r="Y113" s="50">
        <v>0</v>
      </c>
      <c r="Z113" s="50">
        <v>1</v>
      </c>
      <c r="AA113" s="72">
        <v>113</v>
      </c>
      <c r="AB113" s="72"/>
      <c r="AC113" s="73"/>
      <c r="AD113" s="80" t="s">
        <v>945</v>
      </c>
      <c r="AE113" s="80"/>
      <c r="AF113" s="80"/>
      <c r="AG113" s="80"/>
      <c r="AH113" s="80"/>
      <c r="AI113" s="80"/>
      <c r="AJ113" s="87">
        <v>42528.420694444445</v>
      </c>
      <c r="AK113" s="85" t="str">
        <f>HYPERLINK("https://yt3.ggpht.com/ytc/AKedOLRTF2M2a9jEtTjjBK1KCtbTiyCbr6CavVbqdg=s88-c-k-c0x00ffffff-no-rj")</f>
        <v>https://yt3.ggpht.com/ytc/AKedOLRTF2M2a9jEtTjjBK1KCtbTiyCbr6CavVbqdg=s88-c-k-c0x00ffffff-no-rj</v>
      </c>
      <c r="AL113" s="80">
        <v>21</v>
      </c>
      <c r="AM113" s="80">
        <v>0</v>
      </c>
      <c r="AN113" s="80">
        <v>0</v>
      </c>
      <c r="AO113" s="80" t="b">
        <v>0</v>
      </c>
      <c r="AP113" s="80">
        <v>1</v>
      </c>
      <c r="AQ113" s="80"/>
      <c r="AR113" s="80"/>
      <c r="AS113" s="80" t="s">
        <v>1376</v>
      </c>
      <c r="AT113" s="85" t="str">
        <f>HYPERLINK("https://www.youtube.com/channel/UCuPfgSrWOc2EmNcS-dnRC8A")</f>
        <v>https://www.youtube.com/channel/UCuPfgSrWOc2EmNcS-dnRC8A</v>
      </c>
      <c r="AU113" s="80" t="str">
        <f>REPLACE(INDEX(GroupVertices[Group],MATCH(Vertices[[#This Row],[Vertex]],GroupVertices[Vertex],0)),1,1,"")</f>
        <v>1</v>
      </c>
      <c r="AV113" s="49">
        <v>4</v>
      </c>
      <c r="AW113" s="50">
        <v>6.153846153846154</v>
      </c>
      <c r="AX113" s="49">
        <v>0</v>
      </c>
      <c r="AY113" s="50">
        <v>0</v>
      </c>
      <c r="AZ113" s="49">
        <v>0</v>
      </c>
      <c r="BA113" s="50">
        <v>0</v>
      </c>
      <c r="BB113" s="49">
        <v>61</v>
      </c>
      <c r="BC113" s="50">
        <v>93.84615384615384</v>
      </c>
      <c r="BD113" s="49">
        <v>65</v>
      </c>
      <c r="BE113" s="49"/>
      <c r="BF113" s="49"/>
      <c r="BG113" s="49"/>
      <c r="BH113" s="49"/>
      <c r="BI113" s="49"/>
      <c r="BJ113" s="49"/>
      <c r="BK113" s="111" t="s">
        <v>2444</v>
      </c>
      <c r="BL113" s="111" t="s">
        <v>2444</v>
      </c>
      <c r="BM113" s="111" t="s">
        <v>2634</v>
      </c>
      <c r="BN113" s="111" t="s">
        <v>2634</v>
      </c>
      <c r="BO113" s="2"/>
      <c r="BP113" s="3"/>
      <c r="BQ113" s="3"/>
      <c r="BR113" s="3"/>
      <c r="BS113" s="3"/>
    </row>
    <row r="114" spans="1:71" ht="15">
      <c r="A114" s="65" t="s">
        <v>433</v>
      </c>
      <c r="B114" s="66"/>
      <c r="C114" s="66"/>
      <c r="D114" s="67">
        <v>150</v>
      </c>
      <c r="E114" s="69"/>
      <c r="F114" s="103" t="str">
        <f>HYPERLINK("https://yt3.ggpht.com/ytc/AKedOLQ__XjI3tgP4E-_g19wyRqxIIXDa7JYO_lR9yJsIQ=s88-c-k-c0x00ffffff-no-rj")</f>
        <v>https://yt3.ggpht.com/ytc/AKedOLQ__XjI3tgP4E-_g19wyRqxIIXDa7JYO_lR9yJsIQ=s88-c-k-c0x00ffffff-no-rj</v>
      </c>
      <c r="G114" s="66"/>
      <c r="H114" s="70" t="s">
        <v>946</v>
      </c>
      <c r="I114" s="71"/>
      <c r="J114" s="71" t="s">
        <v>159</v>
      </c>
      <c r="K114" s="70" t="s">
        <v>946</v>
      </c>
      <c r="L114" s="74">
        <v>1</v>
      </c>
      <c r="M114" s="75">
        <v>2138.9287109375</v>
      </c>
      <c r="N114" s="75">
        <v>4171.115234375</v>
      </c>
      <c r="O114" s="76"/>
      <c r="P114" s="77"/>
      <c r="Q114" s="77"/>
      <c r="R114" s="89"/>
      <c r="S114" s="49">
        <v>0</v>
      </c>
      <c r="T114" s="49">
        <v>1</v>
      </c>
      <c r="U114" s="50">
        <v>0</v>
      </c>
      <c r="V114" s="50">
        <v>0.189881</v>
      </c>
      <c r="W114" s="50">
        <v>0.080745</v>
      </c>
      <c r="X114" s="50">
        <v>0.003874</v>
      </c>
      <c r="Y114" s="50">
        <v>0</v>
      </c>
      <c r="Z114" s="50">
        <v>0</v>
      </c>
      <c r="AA114" s="72">
        <v>114</v>
      </c>
      <c r="AB114" s="72"/>
      <c r="AC114" s="73"/>
      <c r="AD114" s="80" t="s">
        <v>946</v>
      </c>
      <c r="AE114" s="80"/>
      <c r="AF114" s="80"/>
      <c r="AG114" s="80"/>
      <c r="AH114" s="80"/>
      <c r="AI114" s="80"/>
      <c r="AJ114" s="87">
        <v>40815.11960648148</v>
      </c>
      <c r="AK114" s="85" t="str">
        <f>HYPERLINK("https://yt3.ggpht.com/ytc/AKedOLQ__XjI3tgP4E-_g19wyRqxIIXDa7JYO_lR9yJsIQ=s88-c-k-c0x00ffffff-no-rj")</f>
        <v>https://yt3.ggpht.com/ytc/AKedOLQ__XjI3tgP4E-_g19wyRqxIIXDa7JYO_lR9yJsIQ=s88-c-k-c0x00ffffff-no-rj</v>
      </c>
      <c r="AL114" s="80">
        <v>0</v>
      </c>
      <c r="AM114" s="80">
        <v>0</v>
      </c>
      <c r="AN114" s="80">
        <v>2</v>
      </c>
      <c r="AO114" s="80" t="b">
        <v>0</v>
      </c>
      <c r="AP114" s="80">
        <v>0</v>
      </c>
      <c r="AQ114" s="80"/>
      <c r="AR114" s="80"/>
      <c r="AS114" s="80" t="s">
        <v>1376</v>
      </c>
      <c r="AT114" s="85" t="str">
        <f>HYPERLINK("https://www.youtube.com/channel/UCdtcABJ52mOHCXSIzO6SpGA")</f>
        <v>https://www.youtube.com/channel/UCdtcABJ52mOHCXSIzO6SpGA</v>
      </c>
      <c r="AU114" s="80" t="str">
        <f>REPLACE(INDEX(GroupVertices[Group],MATCH(Vertices[[#This Row],[Vertex]],GroupVertices[Vertex],0)),1,1,"")</f>
        <v>1</v>
      </c>
      <c r="AV114" s="49">
        <v>1</v>
      </c>
      <c r="AW114" s="50">
        <v>50</v>
      </c>
      <c r="AX114" s="49">
        <v>0</v>
      </c>
      <c r="AY114" s="50">
        <v>0</v>
      </c>
      <c r="AZ114" s="49">
        <v>0</v>
      </c>
      <c r="BA114" s="50">
        <v>0</v>
      </c>
      <c r="BB114" s="49">
        <v>1</v>
      </c>
      <c r="BC114" s="50">
        <v>50</v>
      </c>
      <c r="BD114" s="49">
        <v>2</v>
      </c>
      <c r="BE114" s="49"/>
      <c r="BF114" s="49"/>
      <c r="BG114" s="49"/>
      <c r="BH114" s="49"/>
      <c r="BI114" s="49"/>
      <c r="BJ114" s="49"/>
      <c r="BK114" s="111" t="s">
        <v>1439</v>
      </c>
      <c r="BL114" s="111" t="s">
        <v>1439</v>
      </c>
      <c r="BM114" s="111" t="s">
        <v>1239</v>
      </c>
      <c r="BN114" s="111" t="s">
        <v>1239</v>
      </c>
      <c r="BO114" s="2"/>
      <c r="BP114" s="3"/>
      <c r="BQ114" s="3"/>
      <c r="BR114" s="3"/>
      <c r="BS114" s="3"/>
    </row>
    <row r="115" spans="1:71" ht="15">
      <c r="A115" s="65" t="s">
        <v>434</v>
      </c>
      <c r="B115" s="66"/>
      <c r="C115" s="66"/>
      <c r="D115" s="67">
        <v>150</v>
      </c>
      <c r="E115" s="69"/>
      <c r="F115" s="103" t="str">
        <f>HYPERLINK("https://yt3.ggpht.com/ytc/AKedOLRhVWRahWxcJpDGSU5P_jNkllr1wDNf-ofkNfbMpA=s88-c-k-c0x00ffffff-no-rj")</f>
        <v>https://yt3.ggpht.com/ytc/AKedOLRhVWRahWxcJpDGSU5P_jNkllr1wDNf-ofkNfbMpA=s88-c-k-c0x00ffffff-no-rj</v>
      </c>
      <c r="G115" s="66"/>
      <c r="H115" s="70" t="s">
        <v>947</v>
      </c>
      <c r="I115" s="71"/>
      <c r="J115" s="71" t="s">
        <v>159</v>
      </c>
      <c r="K115" s="70" t="s">
        <v>947</v>
      </c>
      <c r="L115" s="74">
        <v>1</v>
      </c>
      <c r="M115" s="75">
        <v>2058.408935546875</v>
      </c>
      <c r="N115" s="75">
        <v>9433.193359375</v>
      </c>
      <c r="O115" s="76"/>
      <c r="P115" s="77"/>
      <c r="Q115" s="77"/>
      <c r="R115" s="89"/>
      <c r="S115" s="49">
        <v>0</v>
      </c>
      <c r="T115" s="49">
        <v>1</v>
      </c>
      <c r="U115" s="50">
        <v>0</v>
      </c>
      <c r="V115" s="50">
        <v>0.189881</v>
      </c>
      <c r="W115" s="50">
        <v>0.080745</v>
      </c>
      <c r="X115" s="50">
        <v>0.003874</v>
      </c>
      <c r="Y115" s="50">
        <v>0</v>
      </c>
      <c r="Z115" s="50">
        <v>0</v>
      </c>
      <c r="AA115" s="72">
        <v>115</v>
      </c>
      <c r="AB115" s="72"/>
      <c r="AC115" s="73"/>
      <c r="AD115" s="80" t="s">
        <v>947</v>
      </c>
      <c r="AE115" s="80" t="s">
        <v>1310</v>
      </c>
      <c r="AF115" s="80"/>
      <c r="AG115" s="80"/>
      <c r="AH115" s="80"/>
      <c r="AI115" s="80" t="s">
        <v>1358</v>
      </c>
      <c r="AJ115" s="87">
        <v>40184.75665509259</v>
      </c>
      <c r="AK115" s="85" t="str">
        <f>HYPERLINK("https://yt3.ggpht.com/ytc/AKedOLRhVWRahWxcJpDGSU5P_jNkllr1wDNf-ofkNfbMpA=s88-c-k-c0x00ffffff-no-rj")</f>
        <v>https://yt3.ggpht.com/ytc/AKedOLRhVWRahWxcJpDGSU5P_jNkllr1wDNf-ofkNfbMpA=s88-c-k-c0x00ffffff-no-rj</v>
      </c>
      <c r="AL115" s="80">
        <v>18488</v>
      </c>
      <c r="AM115" s="80">
        <v>0</v>
      </c>
      <c r="AN115" s="80">
        <v>11</v>
      </c>
      <c r="AO115" s="80" t="b">
        <v>0</v>
      </c>
      <c r="AP115" s="80">
        <v>12</v>
      </c>
      <c r="AQ115" s="80"/>
      <c r="AR115" s="80"/>
      <c r="AS115" s="80" t="s">
        <v>1376</v>
      </c>
      <c r="AT115" s="85" t="str">
        <f>HYPERLINK("https://www.youtube.com/channel/UC9cKkmwkK5RE3Yon6NglcwA")</f>
        <v>https://www.youtube.com/channel/UC9cKkmwkK5RE3Yon6NglcwA</v>
      </c>
      <c r="AU115" s="80" t="str">
        <f>REPLACE(INDEX(GroupVertices[Group],MATCH(Vertices[[#This Row],[Vertex]],GroupVertices[Vertex],0)),1,1,"")</f>
        <v>1</v>
      </c>
      <c r="AV115" s="49">
        <v>2</v>
      </c>
      <c r="AW115" s="50">
        <v>66.66666666666667</v>
      </c>
      <c r="AX115" s="49">
        <v>0</v>
      </c>
      <c r="AY115" s="50">
        <v>0</v>
      </c>
      <c r="AZ115" s="49">
        <v>0</v>
      </c>
      <c r="BA115" s="50">
        <v>0</v>
      </c>
      <c r="BB115" s="49">
        <v>1</v>
      </c>
      <c r="BC115" s="50">
        <v>33.333333333333336</v>
      </c>
      <c r="BD115" s="49">
        <v>3</v>
      </c>
      <c r="BE115" s="49"/>
      <c r="BF115" s="49"/>
      <c r="BG115" s="49"/>
      <c r="BH115" s="49"/>
      <c r="BI115" s="49"/>
      <c r="BJ115" s="49"/>
      <c r="BK115" s="111" t="s">
        <v>2445</v>
      </c>
      <c r="BL115" s="111" t="s">
        <v>2445</v>
      </c>
      <c r="BM115" s="111" t="s">
        <v>2635</v>
      </c>
      <c r="BN115" s="111" t="s">
        <v>2635</v>
      </c>
      <c r="BO115" s="2"/>
      <c r="BP115" s="3"/>
      <c r="BQ115" s="3"/>
      <c r="BR115" s="3"/>
      <c r="BS115" s="3"/>
    </row>
    <row r="116" spans="1:71" ht="15">
      <c r="A116" s="65" t="s">
        <v>435</v>
      </c>
      <c r="B116" s="66"/>
      <c r="C116" s="66"/>
      <c r="D116" s="67">
        <v>150</v>
      </c>
      <c r="E116" s="69"/>
      <c r="F116" s="103" t="str">
        <f>HYPERLINK("https://yt3.ggpht.com/ytc/AKedOLSxjCaR0UhrZLD7cy1BgQOp3EtPNvqGnUASNg03=s88-c-k-c0x00ffffff-no-rj")</f>
        <v>https://yt3.ggpht.com/ytc/AKedOLSxjCaR0UhrZLD7cy1BgQOp3EtPNvqGnUASNg03=s88-c-k-c0x00ffffff-no-rj</v>
      </c>
      <c r="G116" s="66"/>
      <c r="H116" s="70" t="s">
        <v>948</v>
      </c>
      <c r="I116" s="71"/>
      <c r="J116" s="71" t="s">
        <v>159</v>
      </c>
      <c r="K116" s="70" t="s">
        <v>948</v>
      </c>
      <c r="L116" s="74">
        <v>1</v>
      </c>
      <c r="M116" s="75">
        <v>7894.333984375</v>
      </c>
      <c r="N116" s="75">
        <v>9000.123046875</v>
      </c>
      <c r="O116" s="76"/>
      <c r="P116" s="77"/>
      <c r="Q116" s="77"/>
      <c r="R116" s="89"/>
      <c r="S116" s="49">
        <v>0</v>
      </c>
      <c r="T116" s="49">
        <v>1</v>
      </c>
      <c r="U116" s="50">
        <v>0</v>
      </c>
      <c r="V116" s="50">
        <v>0.146896</v>
      </c>
      <c r="W116" s="50">
        <v>0.004722</v>
      </c>
      <c r="X116" s="50">
        <v>0.003897</v>
      </c>
      <c r="Y116" s="50">
        <v>0</v>
      </c>
      <c r="Z116" s="50">
        <v>0</v>
      </c>
      <c r="AA116" s="72">
        <v>116</v>
      </c>
      <c r="AB116" s="72"/>
      <c r="AC116" s="73"/>
      <c r="AD116" s="80" t="s">
        <v>948</v>
      </c>
      <c r="AE116" s="80"/>
      <c r="AF116" s="80"/>
      <c r="AG116" s="80"/>
      <c r="AH116" s="80"/>
      <c r="AI116" s="80"/>
      <c r="AJ116" s="87">
        <v>43314.79400462963</v>
      </c>
      <c r="AK116" s="85" t="str">
        <f>HYPERLINK("https://yt3.ggpht.com/ytc/AKedOLSxjCaR0UhrZLD7cy1BgQOp3EtPNvqGnUASNg03=s88-c-k-c0x00ffffff-no-rj")</f>
        <v>https://yt3.ggpht.com/ytc/AKedOLSxjCaR0UhrZLD7cy1BgQOp3EtPNvqGnUASNg03=s88-c-k-c0x00ffffff-no-rj</v>
      </c>
      <c r="AL116" s="80">
        <v>0</v>
      </c>
      <c r="AM116" s="80">
        <v>0</v>
      </c>
      <c r="AN116" s="80">
        <v>0</v>
      </c>
      <c r="AO116" s="80" t="b">
        <v>0</v>
      </c>
      <c r="AP116" s="80">
        <v>0</v>
      </c>
      <c r="AQ116" s="80"/>
      <c r="AR116" s="80"/>
      <c r="AS116" s="80" t="s">
        <v>1376</v>
      </c>
      <c r="AT116" s="85" t="str">
        <f>HYPERLINK("https://www.youtube.com/channel/UC6OBGTpqEY5Pn4-4xWg8QhQ")</f>
        <v>https://www.youtube.com/channel/UC6OBGTpqEY5Pn4-4xWg8QhQ</v>
      </c>
      <c r="AU116" s="80" t="str">
        <f>REPLACE(INDEX(GroupVertices[Group],MATCH(Vertices[[#This Row],[Vertex]],GroupVertices[Vertex],0)),1,1,"")</f>
        <v>3</v>
      </c>
      <c r="AV116" s="49">
        <v>3</v>
      </c>
      <c r="AW116" s="50">
        <v>10</v>
      </c>
      <c r="AX116" s="49">
        <v>0</v>
      </c>
      <c r="AY116" s="50">
        <v>0</v>
      </c>
      <c r="AZ116" s="49">
        <v>0</v>
      </c>
      <c r="BA116" s="50">
        <v>0</v>
      </c>
      <c r="BB116" s="49">
        <v>27</v>
      </c>
      <c r="BC116" s="50">
        <v>90</v>
      </c>
      <c r="BD116" s="49">
        <v>30</v>
      </c>
      <c r="BE116" s="49"/>
      <c r="BF116" s="49"/>
      <c r="BG116" s="49"/>
      <c r="BH116" s="49"/>
      <c r="BI116" s="49"/>
      <c r="BJ116" s="49"/>
      <c r="BK116" s="111" t="s">
        <v>2446</v>
      </c>
      <c r="BL116" s="111" t="s">
        <v>2446</v>
      </c>
      <c r="BM116" s="111" t="s">
        <v>2636</v>
      </c>
      <c r="BN116" s="111" t="s">
        <v>2636</v>
      </c>
      <c r="BO116" s="2"/>
      <c r="BP116" s="3"/>
      <c r="BQ116" s="3"/>
      <c r="BR116" s="3"/>
      <c r="BS116" s="3"/>
    </row>
    <row r="117" spans="1:71" ht="15">
      <c r="A117" s="65" t="s">
        <v>436</v>
      </c>
      <c r="B117" s="66"/>
      <c r="C117" s="66"/>
      <c r="D117" s="67">
        <v>150</v>
      </c>
      <c r="E117" s="69"/>
      <c r="F117" s="103" t="str">
        <f>HYPERLINK("https://yt3.ggpht.com/ytc/AKedOLTz1csf6YKkXsoZsgP-4WYBFs1Lm30gMWZywBZiyUA=s88-c-k-c0x00ffffff-no-rj")</f>
        <v>https://yt3.ggpht.com/ytc/AKedOLTz1csf6YKkXsoZsgP-4WYBFs1Lm30gMWZywBZiyUA=s88-c-k-c0x00ffffff-no-rj</v>
      </c>
      <c r="G117" s="66"/>
      <c r="H117" s="70" t="s">
        <v>949</v>
      </c>
      <c r="I117" s="71"/>
      <c r="J117" s="71" t="s">
        <v>159</v>
      </c>
      <c r="K117" s="70" t="s">
        <v>949</v>
      </c>
      <c r="L117" s="74">
        <v>1</v>
      </c>
      <c r="M117" s="75">
        <v>7233.83935546875</v>
      </c>
      <c r="N117" s="75">
        <v>8937.595703125</v>
      </c>
      <c r="O117" s="76"/>
      <c r="P117" s="77"/>
      <c r="Q117" s="77"/>
      <c r="R117" s="89"/>
      <c r="S117" s="49">
        <v>0</v>
      </c>
      <c r="T117" s="49">
        <v>1</v>
      </c>
      <c r="U117" s="50">
        <v>0</v>
      </c>
      <c r="V117" s="50">
        <v>0.146896</v>
      </c>
      <c r="W117" s="50">
        <v>0.004722</v>
      </c>
      <c r="X117" s="50">
        <v>0.003897</v>
      </c>
      <c r="Y117" s="50">
        <v>0</v>
      </c>
      <c r="Z117" s="50">
        <v>0</v>
      </c>
      <c r="AA117" s="72">
        <v>117</v>
      </c>
      <c r="AB117" s="72"/>
      <c r="AC117" s="73"/>
      <c r="AD117" s="80" t="s">
        <v>949</v>
      </c>
      <c r="AE117" s="80"/>
      <c r="AF117" s="80"/>
      <c r="AG117" s="80"/>
      <c r="AH117" s="80"/>
      <c r="AI117" s="80"/>
      <c r="AJ117" s="87">
        <v>43380.61917824074</v>
      </c>
      <c r="AK117" s="85" t="str">
        <f>HYPERLINK("https://yt3.ggpht.com/ytc/AKedOLTz1csf6YKkXsoZsgP-4WYBFs1Lm30gMWZywBZiyUA=s88-c-k-c0x00ffffff-no-rj")</f>
        <v>https://yt3.ggpht.com/ytc/AKedOLTz1csf6YKkXsoZsgP-4WYBFs1Lm30gMWZywBZiyUA=s88-c-k-c0x00ffffff-no-rj</v>
      </c>
      <c r="AL117" s="80">
        <v>0</v>
      </c>
      <c r="AM117" s="80">
        <v>0</v>
      </c>
      <c r="AN117" s="80">
        <v>0</v>
      </c>
      <c r="AO117" s="80" t="b">
        <v>0</v>
      </c>
      <c r="AP117" s="80">
        <v>0</v>
      </c>
      <c r="AQ117" s="80"/>
      <c r="AR117" s="80"/>
      <c r="AS117" s="80" t="s">
        <v>1376</v>
      </c>
      <c r="AT117" s="85" t="str">
        <f>HYPERLINK("https://www.youtube.com/channel/UCCwmutQCZD-xOlzyKKl5fag")</f>
        <v>https://www.youtube.com/channel/UCCwmutQCZD-xOlzyKKl5fag</v>
      </c>
      <c r="AU117" s="80" t="str">
        <f>REPLACE(INDEX(GroupVertices[Group],MATCH(Vertices[[#This Row],[Vertex]],GroupVertices[Vertex],0)),1,1,"")</f>
        <v>3</v>
      </c>
      <c r="AV117" s="49">
        <v>2</v>
      </c>
      <c r="AW117" s="50">
        <v>6.896551724137931</v>
      </c>
      <c r="AX117" s="49">
        <v>1</v>
      </c>
      <c r="AY117" s="50">
        <v>3.4482758620689653</v>
      </c>
      <c r="AZ117" s="49">
        <v>0</v>
      </c>
      <c r="BA117" s="50">
        <v>0</v>
      </c>
      <c r="BB117" s="49">
        <v>26</v>
      </c>
      <c r="BC117" s="50">
        <v>89.65517241379311</v>
      </c>
      <c r="BD117" s="49">
        <v>29</v>
      </c>
      <c r="BE117" s="49"/>
      <c r="BF117" s="49"/>
      <c r="BG117" s="49"/>
      <c r="BH117" s="49"/>
      <c r="BI117" s="49"/>
      <c r="BJ117" s="49"/>
      <c r="BK117" s="111" t="s">
        <v>2447</v>
      </c>
      <c r="BL117" s="111" t="s">
        <v>2447</v>
      </c>
      <c r="BM117" s="111" t="s">
        <v>2637</v>
      </c>
      <c r="BN117" s="111" t="s">
        <v>2637</v>
      </c>
      <c r="BO117" s="2"/>
      <c r="BP117" s="3"/>
      <c r="BQ117" s="3"/>
      <c r="BR117" s="3"/>
      <c r="BS117" s="3"/>
    </row>
    <row r="118" spans="1:71" ht="15">
      <c r="A118" s="65" t="s">
        <v>437</v>
      </c>
      <c r="B118" s="66"/>
      <c r="C118" s="66"/>
      <c r="D118" s="67">
        <v>150</v>
      </c>
      <c r="E118" s="69"/>
      <c r="F118" s="103" t="str">
        <f>HYPERLINK("https://yt3.ggpht.com/ytc/AKedOLSDHOYFjeScg6Mm7C_SISXAiv_dO1qCv0fAsCwF6g=s88-c-k-c0x00ffffff-no-rj")</f>
        <v>https://yt3.ggpht.com/ytc/AKedOLSDHOYFjeScg6Mm7C_SISXAiv_dO1qCv0fAsCwF6g=s88-c-k-c0x00ffffff-no-rj</v>
      </c>
      <c r="G118" s="66"/>
      <c r="H118" s="70" t="s">
        <v>950</v>
      </c>
      <c r="I118" s="71"/>
      <c r="J118" s="71" t="s">
        <v>159</v>
      </c>
      <c r="K118" s="70" t="s">
        <v>950</v>
      </c>
      <c r="L118" s="74">
        <v>1</v>
      </c>
      <c r="M118" s="75">
        <v>3821.27392578125</v>
      </c>
      <c r="N118" s="75">
        <v>7782.03515625</v>
      </c>
      <c r="O118" s="76"/>
      <c r="P118" s="77"/>
      <c r="Q118" s="77"/>
      <c r="R118" s="89"/>
      <c r="S118" s="49">
        <v>0</v>
      </c>
      <c r="T118" s="49">
        <v>1</v>
      </c>
      <c r="U118" s="50">
        <v>0</v>
      </c>
      <c r="V118" s="50">
        <v>0.103071</v>
      </c>
      <c r="W118" s="50">
        <v>7.7E-05</v>
      </c>
      <c r="X118" s="50">
        <v>0.003956</v>
      </c>
      <c r="Y118" s="50">
        <v>0</v>
      </c>
      <c r="Z118" s="50">
        <v>0</v>
      </c>
      <c r="AA118" s="72">
        <v>118</v>
      </c>
      <c r="AB118" s="72"/>
      <c r="AC118" s="73"/>
      <c r="AD118" s="80" t="s">
        <v>950</v>
      </c>
      <c r="AE118" s="80"/>
      <c r="AF118" s="80"/>
      <c r="AG118" s="80"/>
      <c r="AH118" s="80"/>
      <c r="AI118" s="80"/>
      <c r="AJ118" s="87">
        <v>40881.95925925926</v>
      </c>
      <c r="AK118" s="85" t="str">
        <f>HYPERLINK("https://yt3.ggpht.com/ytc/AKedOLSDHOYFjeScg6Mm7C_SISXAiv_dO1qCv0fAsCwF6g=s88-c-k-c0x00ffffff-no-rj")</f>
        <v>https://yt3.ggpht.com/ytc/AKedOLSDHOYFjeScg6Mm7C_SISXAiv_dO1qCv0fAsCwF6g=s88-c-k-c0x00ffffff-no-rj</v>
      </c>
      <c r="AL118" s="80">
        <v>51</v>
      </c>
      <c r="AM118" s="80">
        <v>0</v>
      </c>
      <c r="AN118" s="80">
        <v>79</v>
      </c>
      <c r="AO118" s="80" t="b">
        <v>0</v>
      </c>
      <c r="AP118" s="80">
        <v>6</v>
      </c>
      <c r="AQ118" s="80"/>
      <c r="AR118" s="80"/>
      <c r="AS118" s="80" t="s">
        <v>1376</v>
      </c>
      <c r="AT118" s="85" t="str">
        <f>HYPERLINK("https://www.youtube.com/channel/UChPvILLGvBiP_SiUg9srazw")</f>
        <v>https://www.youtube.com/channel/UChPvILLGvBiP_SiUg9srazw</v>
      </c>
      <c r="AU118" s="80" t="str">
        <f>REPLACE(INDEX(GroupVertices[Group],MATCH(Vertices[[#This Row],[Vertex]],GroupVertices[Vertex],0)),1,1,"")</f>
        <v>4</v>
      </c>
      <c r="AV118" s="49">
        <v>0</v>
      </c>
      <c r="AW118" s="50">
        <v>0</v>
      </c>
      <c r="AX118" s="49">
        <v>0</v>
      </c>
      <c r="AY118" s="50">
        <v>0</v>
      </c>
      <c r="AZ118" s="49">
        <v>0</v>
      </c>
      <c r="BA118" s="50">
        <v>0</v>
      </c>
      <c r="BB118" s="49">
        <v>2</v>
      </c>
      <c r="BC118" s="50">
        <v>100</v>
      </c>
      <c r="BD118" s="49">
        <v>2</v>
      </c>
      <c r="BE118" s="49"/>
      <c r="BF118" s="49"/>
      <c r="BG118" s="49"/>
      <c r="BH118" s="49"/>
      <c r="BI118" s="49"/>
      <c r="BJ118" s="49"/>
      <c r="BK118" s="111" t="s">
        <v>1239</v>
      </c>
      <c r="BL118" s="111" t="s">
        <v>1239</v>
      </c>
      <c r="BM118" s="111" t="s">
        <v>1239</v>
      </c>
      <c r="BN118" s="111" t="s">
        <v>1239</v>
      </c>
      <c r="BO118" s="2"/>
      <c r="BP118" s="3"/>
      <c r="BQ118" s="3"/>
      <c r="BR118" s="3"/>
      <c r="BS118" s="3"/>
    </row>
    <row r="119" spans="1:71" ht="15">
      <c r="A119" s="65" t="s">
        <v>560</v>
      </c>
      <c r="B119" s="66"/>
      <c r="C119" s="66"/>
      <c r="D119" s="67">
        <v>973.9463601532567</v>
      </c>
      <c r="E119" s="69"/>
      <c r="F119" s="103" t="str">
        <f>HYPERLINK("https://yt3.ggpht.com/ytc/AKedOLQqJSljagjV1C0NbEV0Tl3Ug5e7fYt6jh6DthVg=s88-c-k-c0x00ffffff-no-rj")</f>
        <v>https://yt3.ggpht.com/ytc/AKedOLQqJSljagjV1C0NbEV0Tl3Ug5e7fYt6jh6DthVg=s88-c-k-c0x00ffffff-no-rj</v>
      </c>
      <c r="G119" s="66"/>
      <c r="H119" s="70" t="s">
        <v>1267</v>
      </c>
      <c r="I119" s="71"/>
      <c r="J119" s="71" t="s">
        <v>75</v>
      </c>
      <c r="K119" s="70" t="s">
        <v>1267</v>
      </c>
      <c r="L119" s="74">
        <v>730.7933040637184</v>
      </c>
      <c r="M119" s="75">
        <v>4313.14697265625</v>
      </c>
      <c r="N119" s="75">
        <v>7842.4931640625</v>
      </c>
      <c r="O119" s="76"/>
      <c r="P119" s="77"/>
      <c r="Q119" s="77"/>
      <c r="R119" s="89"/>
      <c r="S119" s="49">
        <v>6</v>
      </c>
      <c r="T119" s="49">
        <v>1</v>
      </c>
      <c r="U119" s="50">
        <v>1012</v>
      </c>
      <c r="V119" s="50">
        <v>0.125207</v>
      </c>
      <c r="W119" s="50">
        <v>0.000684</v>
      </c>
      <c r="X119" s="50">
        <v>0.006453</v>
      </c>
      <c r="Y119" s="50">
        <v>0</v>
      </c>
      <c r="Z119" s="50">
        <v>0</v>
      </c>
      <c r="AA119" s="72">
        <v>119</v>
      </c>
      <c r="AB119" s="72"/>
      <c r="AC119" s="73"/>
      <c r="AD119" s="80" t="s">
        <v>1267</v>
      </c>
      <c r="AE119" s="80" t="s">
        <v>1311</v>
      </c>
      <c r="AF119" s="80"/>
      <c r="AG119" s="80"/>
      <c r="AH119" s="80"/>
      <c r="AI119" s="80"/>
      <c r="AJ119" s="87">
        <v>42922.49681712963</v>
      </c>
      <c r="AK119" s="85" t="str">
        <f>HYPERLINK("https://yt3.ggpht.com/ytc/AKedOLQqJSljagjV1C0NbEV0Tl3Ug5e7fYt6jh6DthVg=s88-c-k-c0x00ffffff-no-rj")</f>
        <v>https://yt3.ggpht.com/ytc/AKedOLQqJSljagjV1C0NbEV0Tl3Ug5e7fYt6jh6DthVg=s88-c-k-c0x00ffffff-no-rj</v>
      </c>
      <c r="AL119" s="80">
        <v>7731</v>
      </c>
      <c r="AM119" s="80">
        <v>0</v>
      </c>
      <c r="AN119" s="80">
        <v>155</v>
      </c>
      <c r="AO119" s="80" t="b">
        <v>0</v>
      </c>
      <c r="AP119" s="80">
        <v>6</v>
      </c>
      <c r="AQ119" s="80"/>
      <c r="AR119" s="80"/>
      <c r="AS119" s="80" t="s">
        <v>1376</v>
      </c>
      <c r="AT119" s="85" t="str">
        <f>HYPERLINK("https://www.youtube.com/channel/UCnrbbUoV6A2YP0tCJJfJSsg")</f>
        <v>https://www.youtube.com/channel/UCnrbbUoV6A2YP0tCJJfJSsg</v>
      </c>
      <c r="AU119" s="80" t="str">
        <f>REPLACE(INDEX(GroupVertices[Group],MATCH(Vertices[[#This Row],[Vertex]],GroupVertices[Vertex],0)),1,1,"")</f>
        <v>4</v>
      </c>
      <c r="AV119" s="49"/>
      <c r="AW119" s="50"/>
      <c r="AX119" s="49"/>
      <c r="AY119" s="50"/>
      <c r="AZ119" s="49"/>
      <c r="BA119" s="50"/>
      <c r="BB119" s="49"/>
      <c r="BC119" s="50"/>
      <c r="BD119" s="49"/>
      <c r="BE119" s="49"/>
      <c r="BF119" s="49"/>
      <c r="BG119" s="49"/>
      <c r="BH119" s="49"/>
      <c r="BI119" s="49"/>
      <c r="BJ119" s="49"/>
      <c r="BK119" s="111" t="s">
        <v>1239</v>
      </c>
      <c r="BL119" s="111" t="s">
        <v>1239</v>
      </c>
      <c r="BM119" s="111" t="s">
        <v>1239</v>
      </c>
      <c r="BN119" s="111" t="s">
        <v>1239</v>
      </c>
      <c r="BO119" s="2"/>
      <c r="BP119" s="3"/>
      <c r="BQ119" s="3"/>
      <c r="BR119" s="3"/>
      <c r="BS119" s="3"/>
    </row>
    <row r="120" spans="1:71" ht="15">
      <c r="A120" s="65" t="s">
        <v>438</v>
      </c>
      <c r="B120" s="66"/>
      <c r="C120" s="66"/>
      <c r="D120" s="67">
        <v>150</v>
      </c>
      <c r="E120" s="69"/>
      <c r="F120" s="103" t="str">
        <f>HYPERLINK("https://yt3.ggpht.com/ytc/AKedOLRZV9aUc787PXnHRwXdiqDQv_Zmo1OvVN8YktOh=s88-c-k-c0x00ffffff-no-rj")</f>
        <v>https://yt3.ggpht.com/ytc/AKedOLRZV9aUc787PXnHRwXdiqDQv_Zmo1OvVN8YktOh=s88-c-k-c0x00ffffff-no-rj</v>
      </c>
      <c r="G120" s="66"/>
      <c r="H120" s="70" t="s">
        <v>951</v>
      </c>
      <c r="I120" s="71"/>
      <c r="J120" s="71" t="s">
        <v>159</v>
      </c>
      <c r="K120" s="70" t="s">
        <v>951</v>
      </c>
      <c r="L120" s="74">
        <v>1</v>
      </c>
      <c r="M120" s="75">
        <v>5332.515625</v>
      </c>
      <c r="N120" s="75">
        <v>6543.46337890625</v>
      </c>
      <c r="O120" s="76"/>
      <c r="P120" s="77"/>
      <c r="Q120" s="77"/>
      <c r="R120" s="89"/>
      <c r="S120" s="49">
        <v>0</v>
      </c>
      <c r="T120" s="49">
        <v>1</v>
      </c>
      <c r="U120" s="50">
        <v>0</v>
      </c>
      <c r="V120" s="50">
        <v>0.102224</v>
      </c>
      <c r="W120" s="50">
        <v>7.3E-05</v>
      </c>
      <c r="X120" s="50">
        <v>0.004033</v>
      </c>
      <c r="Y120" s="50">
        <v>0</v>
      </c>
      <c r="Z120" s="50">
        <v>0</v>
      </c>
      <c r="AA120" s="72">
        <v>120</v>
      </c>
      <c r="AB120" s="72"/>
      <c r="AC120" s="73"/>
      <c r="AD120" s="80" t="s">
        <v>951</v>
      </c>
      <c r="AE120" s="80"/>
      <c r="AF120" s="80"/>
      <c r="AG120" s="80"/>
      <c r="AH120" s="80"/>
      <c r="AI120" s="80"/>
      <c r="AJ120" s="87">
        <v>43114.156956018516</v>
      </c>
      <c r="AK120" s="85" t="str">
        <f>HYPERLINK("https://yt3.ggpht.com/ytc/AKedOLRZV9aUc787PXnHRwXdiqDQv_Zmo1OvVN8YktOh=s88-c-k-c0x00ffffff-no-rj")</f>
        <v>https://yt3.ggpht.com/ytc/AKedOLRZV9aUc787PXnHRwXdiqDQv_Zmo1OvVN8YktOh=s88-c-k-c0x00ffffff-no-rj</v>
      </c>
      <c r="AL120" s="80">
        <v>5219</v>
      </c>
      <c r="AM120" s="80">
        <v>0</v>
      </c>
      <c r="AN120" s="80">
        <v>29</v>
      </c>
      <c r="AO120" s="80" t="b">
        <v>0</v>
      </c>
      <c r="AP120" s="80">
        <v>67</v>
      </c>
      <c r="AQ120" s="80"/>
      <c r="AR120" s="80"/>
      <c r="AS120" s="80" t="s">
        <v>1376</v>
      </c>
      <c r="AT120" s="85" t="str">
        <f>HYPERLINK("https://www.youtube.com/channel/UCkNEkfKxEtYneNKzdgiefWg")</f>
        <v>https://www.youtube.com/channel/UCkNEkfKxEtYneNKzdgiefWg</v>
      </c>
      <c r="AU120" s="80" t="str">
        <f>REPLACE(INDEX(GroupVertices[Group],MATCH(Vertices[[#This Row],[Vertex]],GroupVertices[Vertex],0)),1,1,"")</f>
        <v>4</v>
      </c>
      <c r="AV120" s="49">
        <v>1</v>
      </c>
      <c r="AW120" s="50">
        <v>10</v>
      </c>
      <c r="AX120" s="49">
        <v>0</v>
      </c>
      <c r="AY120" s="50">
        <v>0</v>
      </c>
      <c r="AZ120" s="49">
        <v>0</v>
      </c>
      <c r="BA120" s="50">
        <v>0</v>
      </c>
      <c r="BB120" s="49">
        <v>9</v>
      </c>
      <c r="BC120" s="50">
        <v>90</v>
      </c>
      <c r="BD120" s="49">
        <v>10</v>
      </c>
      <c r="BE120" s="49"/>
      <c r="BF120" s="49"/>
      <c r="BG120" s="49"/>
      <c r="BH120" s="49"/>
      <c r="BI120" s="49"/>
      <c r="BJ120" s="49"/>
      <c r="BK120" s="111" t="s">
        <v>2448</v>
      </c>
      <c r="BL120" s="111" t="s">
        <v>2448</v>
      </c>
      <c r="BM120" s="111" t="s">
        <v>2638</v>
      </c>
      <c r="BN120" s="111" t="s">
        <v>2638</v>
      </c>
      <c r="BO120" s="2"/>
      <c r="BP120" s="3"/>
      <c r="BQ120" s="3"/>
      <c r="BR120" s="3"/>
      <c r="BS120" s="3"/>
    </row>
    <row r="121" spans="1:71" ht="15">
      <c r="A121" s="65" t="s">
        <v>555</v>
      </c>
      <c r="B121" s="66"/>
      <c r="C121" s="66"/>
      <c r="D121" s="67">
        <v>358.42911877394636</v>
      </c>
      <c r="E121" s="69"/>
      <c r="F121" s="103" t="str">
        <f>HYPERLINK("https://yt3.ggpht.com/ytc/AKedOLRcRRwYuxMZUQXaV4lTjEUsIucshFnXo8Cs-zVq=s88-c-k-c0x00ffffff-no-rj")</f>
        <v>https://yt3.ggpht.com/ytc/AKedOLRcRRwYuxMZUQXaV4lTjEUsIucshFnXo8Cs-zVq=s88-c-k-c0x00ffffff-no-rj</v>
      </c>
      <c r="G121" s="66"/>
      <c r="H121" s="70" t="s">
        <v>1268</v>
      </c>
      <c r="I121" s="71"/>
      <c r="J121" s="71" t="s">
        <v>75</v>
      </c>
      <c r="K121" s="70" t="s">
        <v>1268</v>
      </c>
      <c r="L121" s="74">
        <v>185.61174490149398</v>
      </c>
      <c r="M121" s="75">
        <v>5110.13525390625</v>
      </c>
      <c r="N121" s="75">
        <v>7310.65234375</v>
      </c>
      <c r="O121" s="76"/>
      <c r="P121" s="77"/>
      <c r="Q121" s="77"/>
      <c r="R121" s="89"/>
      <c r="S121" s="49">
        <v>3</v>
      </c>
      <c r="T121" s="49">
        <v>1</v>
      </c>
      <c r="U121" s="50">
        <v>256</v>
      </c>
      <c r="V121" s="50">
        <v>0.123959</v>
      </c>
      <c r="W121" s="50">
        <v>0.000654</v>
      </c>
      <c r="X121" s="50">
        <v>0.004761</v>
      </c>
      <c r="Y121" s="50">
        <v>0</v>
      </c>
      <c r="Z121" s="50">
        <v>0</v>
      </c>
      <c r="AA121" s="72">
        <v>121</v>
      </c>
      <c r="AB121" s="72"/>
      <c r="AC121" s="73"/>
      <c r="AD121" s="80" t="s">
        <v>1268</v>
      </c>
      <c r="AE121" s="80"/>
      <c r="AF121" s="80"/>
      <c r="AG121" s="80"/>
      <c r="AH121" s="80"/>
      <c r="AI121" s="80" t="s">
        <v>1359</v>
      </c>
      <c r="AJ121" s="87">
        <v>40532.38302083333</v>
      </c>
      <c r="AK121" s="85" t="str">
        <f>HYPERLINK("https://yt3.ggpht.com/ytc/AKedOLRcRRwYuxMZUQXaV4lTjEUsIucshFnXo8Cs-zVq=s88-c-k-c0x00ffffff-no-rj")</f>
        <v>https://yt3.ggpht.com/ytc/AKedOLRcRRwYuxMZUQXaV4lTjEUsIucshFnXo8Cs-zVq=s88-c-k-c0x00ffffff-no-rj</v>
      </c>
      <c r="AL121" s="80">
        <v>370217</v>
      </c>
      <c r="AM121" s="80">
        <v>0</v>
      </c>
      <c r="AN121" s="80">
        <v>2240</v>
      </c>
      <c r="AO121" s="80" t="b">
        <v>0</v>
      </c>
      <c r="AP121" s="80">
        <v>57</v>
      </c>
      <c r="AQ121" s="80"/>
      <c r="AR121" s="80"/>
      <c r="AS121" s="80" t="s">
        <v>1376</v>
      </c>
      <c r="AT121" s="85" t="str">
        <f>HYPERLINK("https://www.youtube.com/channel/UCqS6Idv3FEU9VQX7-yHwnSw")</f>
        <v>https://www.youtube.com/channel/UCqS6Idv3FEU9VQX7-yHwnSw</v>
      </c>
      <c r="AU121" s="80" t="str">
        <f>REPLACE(INDEX(GroupVertices[Group],MATCH(Vertices[[#This Row],[Vertex]],GroupVertices[Vertex],0)),1,1,"")</f>
        <v>4</v>
      </c>
      <c r="AV121" s="49"/>
      <c r="AW121" s="50"/>
      <c r="AX121" s="49"/>
      <c r="AY121" s="50"/>
      <c r="AZ121" s="49"/>
      <c r="BA121" s="50"/>
      <c r="BB121" s="49"/>
      <c r="BC121" s="50"/>
      <c r="BD121" s="49"/>
      <c r="BE121" s="49"/>
      <c r="BF121" s="49"/>
      <c r="BG121" s="49"/>
      <c r="BH121" s="49"/>
      <c r="BI121" s="49"/>
      <c r="BJ121" s="49"/>
      <c r="BK121" s="111" t="s">
        <v>1239</v>
      </c>
      <c r="BL121" s="111" t="s">
        <v>1239</v>
      </c>
      <c r="BM121" s="111" t="s">
        <v>1239</v>
      </c>
      <c r="BN121" s="111" t="s">
        <v>1239</v>
      </c>
      <c r="BO121" s="2"/>
      <c r="BP121" s="3"/>
      <c r="BQ121" s="3"/>
      <c r="BR121" s="3"/>
      <c r="BS121" s="3"/>
    </row>
    <row r="122" spans="1:71" ht="15">
      <c r="A122" s="65" t="s">
        <v>439</v>
      </c>
      <c r="B122" s="66"/>
      <c r="C122" s="66"/>
      <c r="D122" s="67">
        <v>150</v>
      </c>
      <c r="E122" s="69"/>
      <c r="F122" s="103" t="str">
        <f>HYPERLINK("https://yt3.ggpht.com/ytc/AKedOLRqDdZx5ZwdRdeEJw006khGpsZ2ZEIp5dvvAw=s88-c-k-c0x00ffffff-no-rj")</f>
        <v>https://yt3.ggpht.com/ytc/AKedOLRqDdZx5ZwdRdeEJw006khGpsZ2ZEIp5dvvAw=s88-c-k-c0x00ffffff-no-rj</v>
      </c>
      <c r="G122" s="66"/>
      <c r="H122" s="70" t="s">
        <v>952</v>
      </c>
      <c r="I122" s="71"/>
      <c r="J122" s="71" t="s">
        <v>159</v>
      </c>
      <c r="K122" s="70" t="s">
        <v>952</v>
      </c>
      <c r="L122" s="74">
        <v>1</v>
      </c>
      <c r="M122" s="75">
        <v>9692.48046875</v>
      </c>
      <c r="N122" s="75">
        <v>9822.326171875</v>
      </c>
      <c r="O122" s="76"/>
      <c r="P122" s="77"/>
      <c r="Q122" s="77"/>
      <c r="R122" s="89"/>
      <c r="S122" s="49">
        <v>0</v>
      </c>
      <c r="T122" s="49">
        <v>1</v>
      </c>
      <c r="U122" s="50">
        <v>0</v>
      </c>
      <c r="V122" s="50">
        <v>0.014649</v>
      </c>
      <c r="W122" s="50">
        <v>0</v>
      </c>
      <c r="X122" s="50">
        <v>0.004139</v>
      </c>
      <c r="Y122" s="50">
        <v>0</v>
      </c>
      <c r="Z122" s="50">
        <v>0</v>
      </c>
      <c r="AA122" s="72">
        <v>122</v>
      </c>
      <c r="AB122" s="72"/>
      <c r="AC122" s="73"/>
      <c r="AD122" s="80" t="s">
        <v>952</v>
      </c>
      <c r="AE122" s="80"/>
      <c r="AF122" s="80"/>
      <c r="AG122" s="80"/>
      <c r="AH122" s="80"/>
      <c r="AI122" s="80"/>
      <c r="AJ122" s="87">
        <v>41685.481574074074</v>
      </c>
      <c r="AK122" s="85" t="str">
        <f>HYPERLINK("https://yt3.ggpht.com/ytc/AKedOLRqDdZx5ZwdRdeEJw006khGpsZ2ZEIp5dvvAw=s88-c-k-c0x00ffffff-no-rj")</f>
        <v>https://yt3.ggpht.com/ytc/AKedOLRqDdZx5ZwdRdeEJw006khGpsZ2ZEIp5dvvAw=s88-c-k-c0x00ffffff-no-rj</v>
      </c>
      <c r="AL122" s="80">
        <v>0</v>
      </c>
      <c r="AM122" s="80">
        <v>0</v>
      </c>
      <c r="AN122" s="80">
        <v>0</v>
      </c>
      <c r="AO122" s="80" t="b">
        <v>0</v>
      </c>
      <c r="AP122" s="80">
        <v>0</v>
      </c>
      <c r="AQ122" s="80"/>
      <c r="AR122" s="80"/>
      <c r="AS122" s="80" t="s">
        <v>1376</v>
      </c>
      <c r="AT122" s="85" t="str">
        <f>HYPERLINK("https://www.youtube.com/channel/UC-abaNhleZ9l8u2eiQgIHXA")</f>
        <v>https://www.youtube.com/channel/UC-abaNhleZ9l8u2eiQgIHXA</v>
      </c>
      <c r="AU122" s="80" t="str">
        <f>REPLACE(INDEX(GroupVertices[Group],MATCH(Vertices[[#This Row],[Vertex]],GroupVertices[Vertex],0)),1,1,"")</f>
        <v>5</v>
      </c>
      <c r="AV122" s="49">
        <v>0</v>
      </c>
      <c r="AW122" s="50">
        <v>0</v>
      </c>
      <c r="AX122" s="49">
        <v>0</v>
      </c>
      <c r="AY122" s="50">
        <v>0</v>
      </c>
      <c r="AZ122" s="49">
        <v>0</v>
      </c>
      <c r="BA122" s="50">
        <v>0</v>
      </c>
      <c r="BB122" s="49">
        <v>32</v>
      </c>
      <c r="BC122" s="50">
        <v>100</v>
      </c>
      <c r="BD122" s="49">
        <v>32</v>
      </c>
      <c r="BE122" s="49"/>
      <c r="BF122" s="49"/>
      <c r="BG122" s="49"/>
      <c r="BH122" s="49"/>
      <c r="BI122" s="49"/>
      <c r="BJ122" s="49"/>
      <c r="BK122" s="111" t="s">
        <v>2449</v>
      </c>
      <c r="BL122" s="111" t="s">
        <v>2449</v>
      </c>
      <c r="BM122" s="111" t="s">
        <v>2639</v>
      </c>
      <c r="BN122" s="111" t="s">
        <v>2639</v>
      </c>
      <c r="BO122" s="2"/>
      <c r="BP122" s="3"/>
      <c r="BQ122" s="3"/>
      <c r="BR122" s="3"/>
      <c r="BS122" s="3"/>
    </row>
    <row r="123" spans="1:71" ht="15">
      <c r="A123" s="65" t="s">
        <v>440</v>
      </c>
      <c r="B123" s="66"/>
      <c r="C123" s="66"/>
      <c r="D123" s="67">
        <v>171.16858237547893</v>
      </c>
      <c r="E123" s="69"/>
      <c r="F123" s="103" t="str">
        <f>HYPERLINK("https://yt3.ggpht.com/ytc/AKedOLRnspDY9sEEuwCISXhBLsnPjhWVNYoupxlclHzV=s88-c-k-c0x00ffffff-no-rj")</f>
        <v>https://yt3.ggpht.com/ytc/AKedOLRnspDY9sEEuwCISXhBLsnPjhWVNYoupxlclHzV=s88-c-k-c0x00ffffff-no-rj</v>
      </c>
      <c r="G123" s="66"/>
      <c r="H123" s="70" t="s">
        <v>953</v>
      </c>
      <c r="I123" s="71"/>
      <c r="J123" s="71" t="s">
        <v>75</v>
      </c>
      <c r="K123" s="70" t="s">
        <v>953</v>
      </c>
      <c r="L123" s="74">
        <v>19.74963034155798</v>
      </c>
      <c r="M123" s="75">
        <v>9547.7802734375</v>
      </c>
      <c r="N123" s="75">
        <v>9279.787109375</v>
      </c>
      <c r="O123" s="76"/>
      <c r="P123" s="77"/>
      <c r="Q123" s="77"/>
      <c r="R123" s="89"/>
      <c r="S123" s="49">
        <v>1</v>
      </c>
      <c r="T123" s="49">
        <v>1</v>
      </c>
      <c r="U123" s="50">
        <v>26</v>
      </c>
      <c r="V123" s="50">
        <v>0.018701</v>
      </c>
      <c r="W123" s="50">
        <v>0</v>
      </c>
      <c r="X123" s="50">
        <v>0.00459</v>
      </c>
      <c r="Y123" s="50">
        <v>0</v>
      </c>
      <c r="Z123" s="50">
        <v>0</v>
      </c>
      <c r="AA123" s="72">
        <v>123</v>
      </c>
      <c r="AB123" s="72"/>
      <c r="AC123" s="73"/>
      <c r="AD123" s="80" t="s">
        <v>953</v>
      </c>
      <c r="AE123" s="80"/>
      <c r="AF123" s="80"/>
      <c r="AG123" s="80"/>
      <c r="AH123" s="80"/>
      <c r="AI123" s="80"/>
      <c r="AJ123" s="87">
        <v>41054.62478009259</v>
      </c>
      <c r="AK123" s="85" t="str">
        <f>HYPERLINK("https://yt3.ggpht.com/ytc/AKedOLRnspDY9sEEuwCISXhBLsnPjhWVNYoupxlclHzV=s88-c-k-c0x00ffffff-no-rj")</f>
        <v>https://yt3.ggpht.com/ytc/AKedOLRnspDY9sEEuwCISXhBLsnPjhWVNYoupxlclHzV=s88-c-k-c0x00ffffff-no-rj</v>
      </c>
      <c r="AL123" s="80">
        <v>35790</v>
      </c>
      <c r="AM123" s="80">
        <v>0</v>
      </c>
      <c r="AN123" s="80">
        <v>101</v>
      </c>
      <c r="AO123" s="80" t="b">
        <v>0</v>
      </c>
      <c r="AP123" s="80">
        <v>18</v>
      </c>
      <c r="AQ123" s="80"/>
      <c r="AR123" s="80"/>
      <c r="AS123" s="80" t="s">
        <v>1376</v>
      </c>
      <c r="AT123" s="85" t="str">
        <f>HYPERLINK("https://www.youtube.com/channel/UCmB6rgL4vwKdmtRwoK6hNRA")</f>
        <v>https://www.youtube.com/channel/UCmB6rgL4vwKdmtRwoK6hNRA</v>
      </c>
      <c r="AU123" s="80" t="str">
        <f>REPLACE(INDEX(GroupVertices[Group],MATCH(Vertices[[#This Row],[Vertex]],GroupVertices[Vertex],0)),1,1,"")</f>
        <v>5</v>
      </c>
      <c r="AV123" s="49">
        <v>0</v>
      </c>
      <c r="AW123" s="50">
        <v>0</v>
      </c>
      <c r="AX123" s="49">
        <v>0</v>
      </c>
      <c r="AY123" s="50">
        <v>0</v>
      </c>
      <c r="AZ123" s="49">
        <v>0</v>
      </c>
      <c r="BA123" s="50">
        <v>0</v>
      </c>
      <c r="BB123" s="49">
        <v>22</v>
      </c>
      <c r="BC123" s="50">
        <v>100</v>
      </c>
      <c r="BD123" s="49">
        <v>22</v>
      </c>
      <c r="BE123" s="49"/>
      <c r="BF123" s="49"/>
      <c r="BG123" s="49"/>
      <c r="BH123" s="49"/>
      <c r="BI123" s="49"/>
      <c r="BJ123" s="49"/>
      <c r="BK123" s="111" t="s">
        <v>2450</v>
      </c>
      <c r="BL123" s="111" t="s">
        <v>2450</v>
      </c>
      <c r="BM123" s="111" t="s">
        <v>2640</v>
      </c>
      <c r="BN123" s="111" t="s">
        <v>2640</v>
      </c>
      <c r="BO123" s="2"/>
      <c r="BP123" s="3"/>
      <c r="BQ123" s="3"/>
      <c r="BR123" s="3"/>
      <c r="BS123" s="3"/>
    </row>
    <row r="124" spans="1:71" ht="15">
      <c r="A124" s="65" t="s">
        <v>441</v>
      </c>
      <c r="B124" s="66"/>
      <c r="C124" s="66"/>
      <c r="D124" s="67">
        <v>223.27586206896552</v>
      </c>
      <c r="E124" s="69"/>
      <c r="F124" s="103" t="str">
        <f>HYPERLINK("https://yt3.ggpht.com/ytc/AKedOLSOoCFQMh8_E2tyt9q2II9FGM3xMOqytTju6N9Ftw=s88-c-k-c0x00ffffff-no-rj")</f>
        <v>https://yt3.ggpht.com/ytc/AKedOLSOoCFQMh8_E2tyt9q2II9FGM3xMOqytTju6N9Ftw=s88-c-k-c0x00ffffff-no-rj</v>
      </c>
      <c r="G124" s="66"/>
      <c r="H124" s="70" t="s">
        <v>954</v>
      </c>
      <c r="I124" s="71"/>
      <c r="J124" s="71" t="s">
        <v>75</v>
      </c>
      <c r="K124" s="70" t="s">
        <v>954</v>
      </c>
      <c r="L124" s="74">
        <v>65.90256656693148</v>
      </c>
      <c r="M124" s="75">
        <v>9507.150390625</v>
      </c>
      <c r="N124" s="75">
        <v>8601.369140625</v>
      </c>
      <c r="O124" s="76"/>
      <c r="P124" s="77"/>
      <c r="Q124" s="77"/>
      <c r="R124" s="89"/>
      <c r="S124" s="49">
        <v>5</v>
      </c>
      <c r="T124" s="49">
        <v>2</v>
      </c>
      <c r="U124" s="50">
        <v>90</v>
      </c>
      <c r="V124" s="50">
        <v>0.024415</v>
      </c>
      <c r="W124" s="50">
        <v>0</v>
      </c>
      <c r="X124" s="50">
        <v>0.005812</v>
      </c>
      <c r="Y124" s="50">
        <v>0</v>
      </c>
      <c r="Z124" s="50">
        <v>0.25</v>
      </c>
      <c r="AA124" s="72">
        <v>124</v>
      </c>
      <c r="AB124" s="72"/>
      <c r="AC124" s="73"/>
      <c r="AD124" s="80" t="s">
        <v>954</v>
      </c>
      <c r="AE124" s="80"/>
      <c r="AF124" s="80"/>
      <c r="AG124" s="80"/>
      <c r="AH124" s="80"/>
      <c r="AI124" s="80"/>
      <c r="AJ124" s="87">
        <v>41928.922847222224</v>
      </c>
      <c r="AK124" s="85" t="str">
        <f>HYPERLINK("https://yt3.ggpht.com/ytc/AKedOLSOoCFQMh8_E2tyt9q2II9FGM3xMOqytTju6N9Ftw=s88-c-k-c0x00ffffff-no-rj")</f>
        <v>https://yt3.ggpht.com/ytc/AKedOLSOoCFQMh8_E2tyt9q2II9FGM3xMOqytTju6N9Ftw=s88-c-k-c0x00ffffff-no-rj</v>
      </c>
      <c r="AL124" s="80">
        <v>1685</v>
      </c>
      <c r="AM124" s="80">
        <v>0</v>
      </c>
      <c r="AN124" s="80">
        <v>14</v>
      </c>
      <c r="AO124" s="80" t="b">
        <v>0</v>
      </c>
      <c r="AP124" s="80">
        <v>1</v>
      </c>
      <c r="AQ124" s="80"/>
      <c r="AR124" s="80"/>
      <c r="AS124" s="80" t="s">
        <v>1376</v>
      </c>
      <c r="AT124" s="85" t="str">
        <f>HYPERLINK("https://www.youtube.com/channel/UCaz5lJl4O-DlZ0Ype11GGDQ")</f>
        <v>https://www.youtube.com/channel/UCaz5lJl4O-DlZ0Ype11GGDQ</v>
      </c>
      <c r="AU124" s="80" t="str">
        <f>REPLACE(INDEX(GroupVertices[Group],MATCH(Vertices[[#This Row],[Vertex]],GroupVertices[Vertex],0)),1,1,"")</f>
        <v>5</v>
      </c>
      <c r="AV124" s="49">
        <v>0</v>
      </c>
      <c r="AW124" s="50">
        <v>0</v>
      </c>
      <c r="AX124" s="49">
        <v>0</v>
      </c>
      <c r="AY124" s="50">
        <v>0</v>
      </c>
      <c r="AZ124" s="49">
        <v>0</v>
      </c>
      <c r="BA124" s="50">
        <v>0</v>
      </c>
      <c r="BB124" s="49">
        <v>130</v>
      </c>
      <c r="BC124" s="50">
        <v>100</v>
      </c>
      <c r="BD124" s="49">
        <v>130</v>
      </c>
      <c r="BE124" s="49" t="s">
        <v>2140</v>
      </c>
      <c r="BF124" s="49" t="s">
        <v>2140</v>
      </c>
      <c r="BG124" s="49" t="s">
        <v>2172</v>
      </c>
      <c r="BH124" s="49" t="s">
        <v>2172</v>
      </c>
      <c r="BI124" s="49"/>
      <c r="BJ124" s="49"/>
      <c r="BK124" s="111" t="s">
        <v>2451</v>
      </c>
      <c r="BL124" s="111" t="s">
        <v>2532</v>
      </c>
      <c r="BM124" s="111" t="s">
        <v>2322</v>
      </c>
      <c r="BN124" s="111" t="s">
        <v>2715</v>
      </c>
      <c r="BO124" s="2"/>
      <c r="BP124" s="3"/>
      <c r="BQ124" s="3"/>
      <c r="BR124" s="3"/>
      <c r="BS124" s="3"/>
    </row>
    <row r="125" spans="1:71" ht="15">
      <c r="A125" s="65" t="s">
        <v>442</v>
      </c>
      <c r="B125" s="66"/>
      <c r="C125" s="66"/>
      <c r="D125" s="67">
        <v>150</v>
      </c>
      <c r="E125" s="69"/>
      <c r="F125" s="103" t="str">
        <f>HYPERLINK("https://yt3.ggpht.com/ytc/AKedOLT3TLlctKOKINlQl-LIvLEiL7BIqIw0oSdmC3DuulI=s88-c-k-c0x00ffffff-no-rj")</f>
        <v>https://yt3.ggpht.com/ytc/AKedOLT3TLlctKOKINlQl-LIvLEiL7BIqIw0oSdmC3DuulI=s88-c-k-c0x00ffffff-no-rj</v>
      </c>
      <c r="G125" s="66"/>
      <c r="H125" s="70" t="s">
        <v>955</v>
      </c>
      <c r="I125" s="71"/>
      <c r="J125" s="71" t="s">
        <v>159</v>
      </c>
      <c r="K125" s="70" t="s">
        <v>955</v>
      </c>
      <c r="L125" s="74">
        <v>1</v>
      </c>
      <c r="M125" s="75">
        <v>9849.2783203125</v>
      </c>
      <c r="N125" s="75">
        <v>8733.4609375</v>
      </c>
      <c r="O125" s="76"/>
      <c r="P125" s="77"/>
      <c r="Q125" s="77"/>
      <c r="R125" s="89"/>
      <c r="S125" s="49">
        <v>1</v>
      </c>
      <c r="T125" s="49">
        <v>1</v>
      </c>
      <c r="U125" s="50">
        <v>0</v>
      </c>
      <c r="V125" s="50">
        <v>0.017937</v>
      </c>
      <c r="W125" s="50">
        <v>0</v>
      </c>
      <c r="X125" s="50">
        <v>0.003969</v>
      </c>
      <c r="Y125" s="50">
        <v>0</v>
      </c>
      <c r="Z125" s="50">
        <v>1</v>
      </c>
      <c r="AA125" s="72">
        <v>125</v>
      </c>
      <c r="AB125" s="72"/>
      <c r="AC125" s="73"/>
      <c r="AD125" s="80" t="s">
        <v>955</v>
      </c>
      <c r="AE125" s="80"/>
      <c r="AF125" s="80"/>
      <c r="AG125" s="80"/>
      <c r="AH125" s="80"/>
      <c r="AI125" s="80"/>
      <c r="AJ125" s="87">
        <v>41514.430601851855</v>
      </c>
      <c r="AK125" s="85" t="str">
        <f>HYPERLINK("https://yt3.ggpht.com/ytc/AKedOLT3TLlctKOKINlQl-LIvLEiL7BIqIw0oSdmC3DuulI=s88-c-k-c0x00ffffff-no-rj")</f>
        <v>https://yt3.ggpht.com/ytc/AKedOLT3TLlctKOKINlQl-LIvLEiL7BIqIw0oSdmC3DuulI=s88-c-k-c0x00ffffff-no-rj</v>
      </c>
      <c r="AL125" s="80">
        <v>548</v>
      </c>
      <c r="AM125" s="80">
        <v>0</v>
      </c>
      <c r="AN125" s="80">
        <v>1</v>
      </c>
      <c r="AO125" s="80" t="b">
        <v>0</v>
      </c>
      <c r="AP125" s="80">
        <v>2</v>
      </c>
      <c r="AQ125" s="80"/>
      <c r="AR125" s="80"/>
      <c r="AS125" s="80" t="s">
        <v>1376</v>
      </c>
      <c r="AT125" s="85" t="str">
        <f>HYPERLINK("https://www.youtube.com/channel/UCiFbxhlcapLxvMvBOJfgiAQ")</f>
        <v>https://www.youtube.com/channel/UCiFbxhlcapLxvMvBOJfgiAQ</v>
      </c>
      <c r="AU125" s="80" t="str">
        <f>REPLACE(INDEX(GroupVertices[Group],MATCH(Vertices[[#This Row],[Vertex]],GroupVertices[Vertex],0)),1,1,"")</f>
        <v>5</v>
      </c>
      <c r="AV125" s="49">
        <v>0</v>
      </c>
      <c r="AW125" s="50">
        <v>0</v>
      </c>
      <c r="AX125" s="49">
        <v>0</v>
      </c>
      <c r="AY125" s="50">
        <v>0</v>
      </c>
      <c r="AZ125" s="49">
        <v>0</v>
      </c>
      <c r="BA125" s="50">
        <v>0</v>
      </c>
      <c r="BB125" s="49">
        <v>8</v>
      </c>
      <c r="BC125" s="50">
        <v>100</v>
      </c>
      <c r="BD125" s="49">
        <v>8</v>
      </c>
      <c r="BE125" s="49"/>
      <c r="BF125" s="49"/>
      <c r="BG125" s="49"/>
      <c r="BH125" s="49"/>
      <c r="BI125" s="49"/>
      <c r="BJ125" s="49"/>
      <c r="BK125" s="111" t="s">
        <v>2452</v>
      </c>
      <c r="BL125" s="111" t="s">
        <v>2452</v>
      </c>
      <c r="BM125" s="111" t="s">
        <v>2641</v>
      </c>
      <c r="BN125" s="111" t="s">
        <v>2641</v>
      </c>
      <c r="BO125" s="2"/>
      <c r="BP125" s="3"/>
      <c r="BQ125" s="3"/>
      <c r="BR125" s="3"/>
      <c r="BS125" s="3"/>
    </row>
    <row r="126" spans="1:71" ht="15">
      <c r="A126" s="65" t="s">
        <v>443</v>
      </c>
      <c r="B126" s="66"/>
      <c r="C126" s="66"/>
      <c r="D126" s="67">
        <v>150</v>
      </c>
      <c r="E126" s="69"/>
      <c r="F126" s="103" t="str">
        <f>HYPERLINK("https://yt3.ggpht.com/ytc/AKedOLTWlIM_E_fDe8NVfUEbZ8nbIemUjocrJRReTRByhw=s88-c-k-c0x00ffffff-no-rj")</f>
        <v>https://yt3.ggpht.com/ytc/AKedOLTWlIM_E_fDe8NVfUEbZ8nbIemUjocrJRReTRByhw=s88-c-k-c0x00ffffff-no-rj</v>
      </c>
      <c r="G126" s="66"/>
      <c r="H126" s="70" t="s">
        <v>956</v>
      </c>
      <c r="I126" s="71"/>
      <c r="J126" s="71" t="s">
        <v>159</v>
      </c>
      <c r="K126" s="70" t="s">
        <v>956</v>
      </c>
      <c r="L126" s="74">
        <v>1</v>
      </c>
      <c r="M126" s="75">
        <v>9871.46484375</v>
      </c>
      <c r="N126" s="75">
        <v>8241.0078125</v>
      </c>
      <c r="O126" s="76"/>
      <c r="P126" s="77"/>
      <c r="Q126" s="77"/>
      <c r="R126" s="89"/>
      <c r="S126" s="49">
        <v>0</v>
      </c>
      <c r="T126" s="49">
        <v>1</v>
      </c>
      <c r="U126" s="50">
        <v>0</v>
      </c>
      <c r="V126" s="50">
        <v>0.017937</v>
      </c>
      <c r="W126" s="50">
        <v>0</v>
      </c>
      <c r="X126" s="50">
        <v>0.003969</v>
      </c>
      <c r="Y126" s="50">
        <v>0</v>
      </c>
      <c r="Z126" s="50">
        <v>0</v>
      </c>
      <c r="AA126" s="72">
        <v>126</v>
      </c>
      <c r="AB126" s="72"/>
      <c r="AC126" s="73"/>
      <c r="AD126" s="80" t="s">
        <v>956</v>
      </c>
      <c r="AE126" s="80"/>
      <c r="AF126" s="80"/>
      <c r="AG126" s="80"/>
      <c r="AH126" s="80"/>
      <c r="AI126" s="80"/>
      <c r="AJ126" s="87">
        <v>42881.021516203706</v>
      </c>
      <c r="AK126" s="85" t="str">
        <f>HYPERLINK("https://yt3.ggpht.com/ytc/AKedOLTWlIM_E_fDe8NVfUEbZ8nbIemUjocrJRReTRByhw=s88-c-k-c0x00ffffff-no-rj")</f>
        <v>https://yt3.ggpht.com/ytc/AKedOLTWlIM_E_fDe8NVfUEbZ8nbIemUjocrJRReTRByhw=s88-c-k-c0x00ffffff-no-rj</v>
      </c>
      <c r="AL126" s="80">
        <v>0</v>
      </c>
      <c r="AM126" s="80">
        <v>0</v>
      </c>
      <c r="AN126" s="80">
        <v>9</v>
      </c>
      <c r="AO126" s="80" t="b">
        <v>0</v>
      </c>
      <c r="AP126" s="80">
        <v>0</v>
      </c>
      <c r="AQ126" s="80"/>
      <c r="AR126" s="80"/>
      <c r="AS126" s="80" t="s">
        <v>1376</v>
      </c>
      <c r="AT126" s="85" t="str">
        <f>HYPERLINK("https://www.youtube.com/channel/UC500ecg6iu4_fZI7ppnH5xg")</f>
        <v>https://www.youtube.com/channel/UC500ecg6iu4_fZI7ppnH5xg</v>
      </c>
      <c r="AU126" s="80" t="str">
        <f>REPLACE(INDEX(GroupVertices[Group],MATCH(Vertices[[#This Row],[Vertex]],GroupVertices[Vertex],0)),1,1,"")</f>
        <v>5</v>
      </c>
      <c r="AV126" s="49">
        <v>0</v>
      </c>
      <c r="AW126" s="50">
        <v>0</v>
      </c>
      <c r="AX126" s="49">
        <v>0</v>
      </c>
      <c r="AY126" s="50">
        <v>0</v>
      </c>
      <c r="AZ126" s="49">
        <v>0</v>
      </c>
      <c r="BA126" s="50">
        <v>0</v>
      </c>
      <c r="BB126" s="49">
        <v>6</v>
      </c>
      <c r="BC126" s="50">
        <v>100</v>
      </c>
      <c r="BD126" s="49">
        <v>6</v>
      </c>
      <c r="BE126" s="49"/>
      <c r="BF126" s="49"/>
      <c r="BG126" s="49"/>
      <c r="BH126" s="49"/>
      <c r="BI126" s="49"/>
      <c r="BJ126" s="49"/>
      <c r="BK126" s="111" t="s">
        <v>2453</v>
      </c>
      <c r="BL126" s="111" t="s">
        <v>2453</v>
      </c>
      <c r="BM126" s="111" t="s">
        <v>2642</v>
      </c>
      <c r="BN126" s="111" t="s">
        <v>2642</v>
      </c>
      <c r="BO126" s="2"/>
      <c r="BP126" s="3"/>
      <c r="BQ126" s="3"/>
      <c r="BR126" s="3"/>
      <c r="BS126" s="3"/>
    </row>
    <row r="127" spans="1:71" ht="15">
      <c r="A127" s="65" t="s">
        <v>444</v>
      </c>
      <c r="B127" s="66"/>
      <c r="C127" s="66"/>
      <c r="D127" s="67">
        <v>223.27586206896552</v>
      </c>
      <c r="E127" s="69"/>
      <c r="F127" s="103" t="str">
        <f>HYPERLINK("https://yt3.ggpht.com/ytc/AKedOLQ14jlNl5hLS_r5TOqxp0tHO_V1R8hv--VhLij-WIU=s88-c-k-c0x00ffffff-no-rj")</f>
        <v>https://yt3.ggpht.com/ytc/AKedOLQ14jlNl5hLS_r5TOqxp0tHO_V1R8hv--VhLij-WIU=s88-c-k-c0x00ffffff-no-rj</v>
      </c>
      <c r="G127" s="66"/>
      <c r="H127" s="70" t="s">
        <v>957</v>
      </c>
      <c r="I127" s="71"/>
      <c r="J127" s="71" t="s">
        <v>75</v>
      </c>
      <c r="K127" s="70" t="s">
        <v>957</v>
      </c>
      <c r="L127" s="74">
        <v>65.90256656693148</v>
      </c>
      <c r="M127" s="75">
        <v>9180.625</v>
      </c>
      <c r="N127" s="75">
        <v>8269.810546875</v>
      </c>
      <c r="O127" s="76"/>
      <c r="P127" s="77"/>
      <c r="Q127" s="77"/>
      <c r="R127" s="89"/>
      <c r="S127" s="49">
        <v>0</v>
      </c>
      <c r="T127" s="49">
        <v>2</v>
      </c>
      <c r="U127" s="50">
        <v>90</v>
      </c>
      <c r="V127" s="50">
        <v>0.028352</v>
      </c>
      <c r="W127" s="50">
        <v>0</v>
      </c>
      <c r="X127" s="50">
        <v>0.004112</v>
      </c>
      <c r="Y127" s="50">
        <v>0</v>
      </c>
      <c r="Z127" s="50">
        <v>0</v>
      </c>
      <c r="AA127" s="72">
        <v>127</v>
      </c>
      <c r="AB127" s="72"/>
      <c r="AC127" s="73"/>
      <c r="AD127" s="80" t="s">
        <v>957</v>
      </c>
      <c r="AE127" s="80" t="s">
        <v>1312</v>
      </c>
      <c r="AF127" s="80"/>
      <c r="AG127" s="80"/>
      <c r="AH127" s="80"/>
      <c r="AI127" s="80"/>
      <c r="AJ127" s="87">
        <v>43102.9484375</v>
      </c>
      <c r="AK127" s="85" t="str">
        <f>HYPERLINK("https://yt3.ggpht.com/ytc/AKedOLQ14jlNl5hLS_r5TOqxp0tHO_V1R8hv--VhLij-WIU=s88-c-k-c0x00ffffff-no-rj")</f>
        <v>https://yt3.ggpht.com/ytc/AKedOLQ14jlNl5hLS_r5TOqxp0tHO_V1R8hv--VhLij-WIU=s88-c-k-c0x00ffffff-no-rj</v>
      </c>
      <c r="AL127" s="80">
        <v>28196</v>
      </c>
      <c r="AM127" s="80">
        <v>0</v>
      </c>
      <c r="AN127" s="80">
        <v>62</v>
      </c>
      <c r="AO127" s="80" t="b">
        <v>0</v>
      </c>
      <c r="AP127" s="80">
        <v>12</v>
      </c>
      <c r="AQ127" s="80"/>
      <c r="AR127" s="80"/>
      <c r="AS127" s="80" t="s">
        <v>1376</v>
      </c>
      <c r="AT127" s="85" t="str">
        <f>HYPERLINK("https://www.youtube.com/channel/UCyKVToG2bdyFm9Zr7487GbQ")</f>
        <v>https://www.youtube.com/channel/UCyKVToG2bdyFm9Zr7487GbQ</v>
      </c>
      <c r="AU127" s="80" t="str">
        <f>REPLACE(INDEX(GroupVertices[Group],MATCH(Vertices[[#This Row],[Vertex]],GroupVertices[Vertex],0)),1,1,"")</f>
        <v>5</v>
      </c>
      <c r="AV127" s="49">
        <v>0</v>
      </c>
      <c r="AW127" s="50">
        <v>0</v>
      </c>
      <c r="AX127" s="49">
        <v>0</v>
      </c>
      <c r="AY127" s="50">
        <v>0</v>
      </c>
      <c r="AZ127" s="49">
        <v>0</v>
      </c>
      <c r="BA127" s="50">
        <v>0</v>
      </c>
      <c r="BB127" s="49">
        <v>17</v>
      </c>
      <c r="BC127" s="50">
        <v>100</v>
      </c>
      <c r="BD127" s="49">
        <v>17</v>
      </c>
      <c r="BE127" s="49"/>
      <c r="BF127" s="49"/>
      <c r="BG127" s="49"/>
      <c r="BH127" s="49"/>
      <c r="BI127" s="49"/>
      <c r="BJ127" s="49"/>
      <c r="BK127" s="111" t="s">
        <v>2454</v>
      </c>
      <c r="BL127" s="111" t="s">
        <v>2454</v>
      </c>
      <c r="BM127" s="111" t="s">
        <v>2643</v>
      </c>
      <c r="BN127" s="111" t="s">
        <v>2643</v>
      </c>
      <c r="BO127" s="2"/>
      <c r="BP127" s="3"/>
      <c r="BQ127" s="3"/>
      <c r="BR127" s="3"/>
      <c r="BS127" s="3"/>
    </row>
    <row r="128" spans="1:71" ht="15">
      <c r="A128" s="65" t="s">
        <v>445</v>
      </c>
      <c r="B128" s="66"/>
      <c r="C128" s="66"/>
      <c r="D128" s="67">
        <v>150</v>
      </c>
      <c r="E128" s="69"/>
      <c r="F128" s="103" t="str">
        <f>HYPERLINK("https://yt3.ggpht.com/ytc/AKedOLReYLk28KVf7UODjfbKi60vX07IA8IiUVfIKw=s88-c-k-c0x00ffffff-no-rj")</f>
        <v>https://yt3.ggpht.com/ytc/AKedOLReYLk28KVf7UODjfbKi60vX07IA8IiUVfIKw=s88-c-k-c0x00ffffff-no-rj</v>
      </c>
      <c r="G128" s="66"/>
      <c r="H128" s="70" t="s">
        <v>958</v>
      </c>
      <c r="I128" s="71"/>
      <c r="J128" s="71" t="s">
        <v>159</v>
      </c>
      <c r="K128" s="70" t="s">
        <v>958</v>
      </c>
      <c r="L128" s="74">
        <v>1</v>
      </c>
      <c r="M128" s="75">
        <v>4724.82763671875</v>
      </c>
      <c r="N128" s="75">
        <v>176.67372131347656</v>
      </c>
      <c r="O128" s="76"/>
      <c r="P128" s="77"/>
      <c r="Q128" s="77"/>
      <c r="R128" s="89"/>
      <c r="S128" s="49">
        <v>0</v>
      </c>
      <c r="T128" s="49">
        <v>1</v>
      </c>
      <c r="U128" s="50">
        <v>0</v>
      </c>
      <c r="V128" s="50">
        <v>0.128219</v>
      </c>
      <c r="W128" s="50">
        <v>0.00137</v>
      </c>
      <c r="X128" s="50">
        <v>0.004134</v>
      </c>
      <c r="Y128" s="50">
        <v>0</v>
      </c>
      <c r="Z128" s="50">
        <v>0</v>
      </c>
      <c r="AA128" s="72">
        <v>128</v>
      </c>
      <c r="AB128" s="72"/>
      <c r="AC128" s="73"/>
      <c r="AD128" s="80" t="s">
        <v>958</v>
      </c>
      <c r="AE128" s="80"/>
      <c r="AF128" s="80"/>
      <c r="AG128" s="80"/>
      <c r="AH128" s="80"/>
      <c r="AI128" s="80"/>
      <c r="AJ128" s="87">
        <v>40692.70460648148</v>
      </c>
      <c r="AK128" s="85" t="str">
        <f>HYPERLINK("https://yt3.ggpht.com/ytc/AKedOLReYLk28KVf7UODjfbKi60vX07IA8IiUVfIKw=s88-c-k-c0x00ffffff-no-rj")</f>
        <v>https://yt3.ggpht.com/ytc/AKedOLReYLk28KVf7UODjfbKi60vX07IA8IiUVfIKw=s88-c-k-c0x00ffffff-no-rj</v>
      </c>
      <c r="AL128" s="80">
        <v>0</v>
      </c>
      <c r="AM128" s="80">
        <v>0</v>
      </c>
      <c r="AN128" s="80">
        <v>1</v>
      </c>
      <c r="AO128" s="80" t="b">
        <v>0</v>
      </c>
      <c r="AP128" s="80">
        <v>0</v>
      </c>
      <c r="AQ128" s="80"/>
      <c r="AR128" s="80"/>
      <c r="AS128" s="80" t="s">
        <v>1376</v>
      </c>
      <c r="AT128" s="85" t="str">
        <f>HYPERLINK("https://www.youtube.com/channel/UCTpiluusEpdQER2ESjtp0dQ")</f>
        <v>https://www.youtube.com/channel/UCTpiluusEpdQER2ESjtp0dQ</v>
      </c>
      <c r="AU128" s="80" t="str">
        <f>REPLACE(INDEX(GroupVertices[Group],MATCH(Vertices[[#This Row],[Vertex]],GroupVertices[Vertex],0)),1,1,"")</f>
        <v>6</v>
      </c>
      <c r="AV128" s="49">
        <v>1</v>
      </c>
      <c r="AW128" s="50">
        <v>12.5</v>
      </c>
      <c r="AX128" s="49">
        <v>2</v>
      </c>
      <c r="AY128" s="50">
        <v>25</v>
      </c>
      <c r="AZ128" s="49">
        <v>0</v>
      </c>
      <c r="BA128" s="50">
        <v>0</v>
      </c>
      <c r="BB128" s="49">
        <v>5</v>
      </c>
      <c r="BC128" s="50">
        <v>62.5</v>
      </c>
      <c r="BD128" s="49">
        <v>8</v>
      </c>
      <c r="BE128" s="49"/>
      <c r="BF128" s="49"/>
      <c r="BG128" s="49"/>
      <c r="BH128" s="49"/>
      <c r="BI128" s="49"/>
      <c r="BJ128" s="49"/>
      <c r="BK128" s="111" t="s">
        <v>2455</v>
      </c>
      <c r="BL128" s="111" t="s">
        <v>2455</v>
      </c>
      <c r="BM128" s="111" t="s">
        <v>2644</v>
      </c>
      <c r="BN128" s="111" t="s">
        <v>2644</v>
      </c>
      <c r="BO128" s="2"/>
      <c r="BP128" s="3"/>
      <c r="BQ128" s="3"/>
      <c r="BR128" s="3"/>
      <c r="BS128" s="3"/>
    </row>
    <row r="129" spans="1:71" ht="15">
      <c r="A129" s="65" t="s">
        <v>446</v>
      </c>
      <c r="B129" s="66"/>
      <c r="C129" s="66"/>
      <c r="D129" s="67">
        <v>358.42911877394636</v>
      </c>
      <c r="E129" s="69"/>
      <c r="F129" s="103" t="str">
        <f>HYPERLINK("https://yt3.ggpht.com/ytc/AKedOLSKnailaJ46TIbmZQEFjkStWUVkurKHgDczZQ=s88-c-k-c0x00ffffff-no-rj")</f>
        <v>https://yt3.ggpht.com/ytc/AKedOLSKnailaJ46TIbmZQEFjkStWUVkurKHgDczZQ=s88-c-k-c0x00ffffff-no-rj</v>
      </c>
      <c r="G129" s="66"/>
      <c r="H129" s="70" t="s">
        <v>959</v>
      </c>
      <c r="I129" s="71"/>
      <c r="J129" s="71" t="s">
        <v>75</v>
      </c>
      <c r="K129" s="70" t="s">
        <v>959</v>
      </c>
      <c r="L129" s="74">
        <v>185.61174490149398</v>
      </c>
      <c r="M129" s="75">
        <v>4753.0380859375</v>
      </c>
      <c r="N129" s="75">
        <v>775.6864013671875</v>
      </c>
      <c r="O129" s="76"/>
      <c r="P129" s="77"/>
      <c r="Q129" s="77"/>
      <c r="R129" s="89"/>
      <c r="S129" s="49">
        <v>1</v>
      </c>
      <c r="T129" s="49">
        <v>1</v>
      </c>
      <c r="U129" s="50">
        <v>256</v>
      </c>
      <c r="V129" s="50">
        <v>0.164369</v>
      </c>
      <c r="W129" s="50">
        <v>0.012205</v>
      </c>
      <c r="X129" s="50">
        <v>0.004524</v>
      </c>
      <c r="Y129" s="50">
        <v>0</v>
      </c>
      <c r="Z129" s="50">
        <v>0</v>
      </c>
      <c r="AA129" s="72">
        <v>129</v>
      </c>
      <c r="AB129" s="72"/>
      <c r="AC129" s="73"/>
      <c r="AD129" s="80" t="s">
        <v>959</v>
      </c>
      <c r="AE129" s="80"/>
      <c r="AF129" s="80"/>
      <c r="AG129" s="80"/>
      <c r="AH129" s="80"/>
      <c r="AI129" s="80"/>
      <c r="AJ129" s="87">
        <v>41120.77564814815</v>
      </c>
      <c r="AK129" s="85" t="str">
        <f>HYPERLINK("https://yt3.ggpht.com/ytc/AKedOLSKnailaJ46TIbmZQEFjkStWUVkurKHgDczZQ=s88-c-k-c0x00ffffff-no-rj")</f>
        <v>https://yt3.ggpht.com/ytc/AKedOLSKnailaJ46TIbmZQEFjkStWUVkurKHgDczZQ=s88-c-k-c0x00ffffff-no-rj</v>
      </c>
      <c r="AL129" s="80">
        <v>5499</v>
      </c>
      <c r="AM129" s="80">
        <v>0</v>
      </c>
      <c r="AN129" s="80">
        <v>15</v>
      </c>
      <c r="AO129" s="80" t="b">
        <v>0</v>
      </c>
      <c r="AP129" s="80">
        <v>14</v>
      </c>
      <c r="AQ129" s="80"/>
      <c r="AR129" s="80"/>
      <c r="AS129" s="80" t="s">
        <v>1376</v>
      </c>
      <c r="AT129" s="85" t="str">
        <f>HYPERLINK("https://www.youtube.com/channel/UCntzGT7YKCWZXmfs7yCRbnw")</f>
        <v>https://www.youtube.com/channel/UCntzGT7YKCWZXmfs7yCRbnw</v>
      </c>
      <c r="AU129" s="80" t="str">
        <f>REPLACE(INDEX(GroupVertices[Group],MATCH(Vertices[[#This Row],[Vertex]],GroupVertices[Vertex],0)),1,1,"")</f>
        <v>6</v>
      </c>
      <c r="AV129" s="49">
        <v>0</v>
      </c>
      <c r="AW129" s="50">
        <v>0</v>
      </c>
      <c r="AX129" s="49">
        <v>0</v>
      </c>
      <c r="AY129" s="50">
        <v>0</v>
      </c>
      <c r="AZ129" s="49">
        <v>0</v>
      </c>
      <c r="BA129" s="50">
        <v>0</v>
      </c>
      <c r="BB129" s="49">
        <v>8</v>
      </c>
      <c r="BC129" s="50">
        <v>100</v>
      </c>
      <c r="BD129" s="49">
        <v>8</v>
      </c>
      <c r="BE129" s="49"/>
      <c r="BF129" s="49"/>
      <c r="BG129" s="49"/>
      <c r="BH129" s="49"/>
      <c r="BI129" s="49"/>
      <c r="BJ129" s="49"/>
      <c r="BK129" s="111" t="s">
        <v>2456</v>
      </c>
      <c r="BL129" s="111" t="s">
        <v>2456</v>
      </c>
      <c r="BM129" s="111" t="s">
        <v>2645</v>
      </c>
      <c r="BN129" s="111" t="s">
        <v>2645</v>
      </c>
      <c r="BO129" s="2"/>
      <c r="BP129" s="3"/>
      <c r="BQ129" s="3"/>
      <c r="BR129" s="3"/>
      <c r="BS129" s="3"/>
    </row>
    <row r="130" spans="1:71" ht="15">
      <c r="A130" s="65" t="s">
        <v>447</v>
      </c>
      <c r="B130" s="66"/>
      <c r="C130" s="66"/>
      <c r="D130" s="67">
        <v>150</v>
      </c>
      <c r="E130" s="69"/>
      <c r="F130" s="103" t="str">
        <f>HYPERLINK("https://yt3.ggpht.com/ytc/AKedOLSyrvVZzhBUN-eVgz3XSnu29wB6_HyZv56-CzGfjSw=s88-c-k-c0x00ffffff-no-rj")</f>
        <v>https://yt3.ggpht.com/ytc/AKedOLSyrvVZzhBUN-eVgz3XSnu29wB6_HyZv56-CzGfjSw=s88-c-k-c0x00ffffff-no-rj</v>
      </c>
      <c r="G130" s="66"/>
      <c r="H130" s="70" t="s">
        <v>960</v>
      </c>
      <c r="I130" s="71"/>
      <c r="J130" s="71" t="s">
        <v>159</v>
      </c>
      <c r="K130" s="70" t="s">
        <v>960</v>
      </c>
      <c r="L130" s="74">
        <v>1</v>
      </c>
      <c r="M130" s="75">
        <v>5753.14013671875</v>
      </c>
      <c r="N130" s="75">
        <v>1524.7579345703125</v>
      </c>
      <c r="O130" s="76"/>
      <c r="P130" s="77"/>
      <c r="Q130" s="77"/>
      <c r="R130" s="89"/>
      <c r="S130" s="49">
        <v>0</v>
      </c>
      <c r="T130" s="49">
        <v>1</v>
      </c>
      <c r="U130" s="50">
        <v>0</v>
      </c>
      <c r="V130" s="50">
        <v>0.163648</v>
      </c>
      <c r="W130" s="50">
        <v>0.012051</v>
      </c>
      <c r="X130" s="50">
        <v>0.003904</v>
      </c>
      <c r="Y130" s="50">
        <v>0</v>
      </c>
      <c r="Z130" s="50">
        <v>0</v>
      </c>
      <c r="AA130" s="72">
        <v>130</v>
      </c>
      <c r="AB130" s="72"/>
      <c r="AC130" s="73"/>
      <c r="AD130" s="80" t="s">
        <v>960</v>
      </c>
      <c r="AE130" s="80" t="s">
        <v>1313</v>
      </c>
      <c r="AF130" s="80"/>
      <c r="AG130" s="80"/>
      <c r="AH130" s="80"/>
      <c r="AI130" s="80"/>
      <c r="AJ130" s="87">
        <v>40081.999375</v>
      </c>
      <c r="AK130" s="85" t="str">
        <f>HYPERLINK("https://yt3.ggpht.com/ytc/AKedOLSyrvVZzhBUN-eVgz3XSnu29wB6_HyZv56-CzGfjSw=s88-c-k-c0x00ffffff-no-rj")</f>
        <v>https://yt3.ggpht.com/ytc/AKedOLSyrvVZzhBUN-eVgz3XSnu29wB6_HyZv56-CzGfjSw=s88-c-k-c0x00ffffff-no-rj</v>
      </c>
      <c r="AL130" s="80">
        <v>32336</v>
      </c>
      <c r="AM130" s="80">
        <v>0</v>
      </c>
      <c r="AN130" s="80">
        <v>37</v>
      </c>
      <c r="AO130" s="80" t="b">
        <v>0</v>
      </c>
      <c r="AP130" s="80">
        <v>29</v>
      </c>
      <c r="AQ130" s="80"/>
      <c r="AR130" s="80"/>
      <c r="AS130" s="80" t="s">
        <v>1376</v>
      </c>
      <c r="AT130" s="85" t="str">
        <f>HYPERLINK("https://www.youtube.com/channel/UCvGUF5crGKWgcjNfy69om-w")</f>
        <v>https://www.youtube.com/channel/UCvGUF5crGKWgcjNfy69om-w</v>
      </c>
      <c r="AU130" s="80" t="str">
        <f>REPLACE(INDEX(GroupVertices[Group],MATCH(Vertices[[#This Row],[Vertex]],GroupVertices[Vertex],0)),1,1,"")</f>
        <v>6</v>
      </c>
      <c r="AV130" s="49">
        <v>0</v>
      </c>
      <c r="AW130" s="50">
        <v>0</v>
      </c>
      <c r="AX130" s="49">
        <v>0</v>
      </c>
      <c r="AY130" s="50">
        <v>0</v>
      </c>
      <c r="AZ130" s="49">
        <v>0</v>
      </c>
      <c r="BA130" s="50">
        <v>0</v>
      </c>
      <c r="BB130" s="49">
        <v>7</v>
      </c>
      <c r="BC130" s="50">
        <v>100</v>
      </c>
      <c r="BD130" s="49">
        <v>7</v>
      </c>
      <c r="BE130" s="49"/>
      <c r="BF130" s="49"/>
      <c r="BG130" s="49"/>
      <c r="BH130" s="49"/>
      <c r="BI130" s="49"/>
      <c r="BJ130" s="49"/>
      <c r="BK130" s="111" t="s">
        <v>2457</v>
      </c>
      <c r="BL130" s="111" t="s">
        <v>2457</v>
      </c>
      <c r="BM130" s="111" t="s">
        <v>2646</v>
      </c>
      <c r="BN130" s="111" t="s">
        <v>2646</v>
      </c>
      <c r="BO130" s="2"/>
      <c r="BP130" s="3"/>
      <c r="BQ130" s="3"/>
      <c r="BR130" s="3"/>
      <c r="BS130" s="3"/>
    </row>
    <row r="131" spans="1:71" ht="15">
      <c r="A131" s="65" t="s">
        <v>448</v>
      </c>
      <c r="B131" s="66"/>
      <c r="C131" s="66"/>
      <c r="D131" s="67">
        <v>150</v>
      </c>
      <c r="E131" s="69"/>
      <c r="F131" s="103" t="str">
        <f>HYPERLINK("https://yt3.ggpht.com/ytc/AKedOLRr2HAPZQUZ3zjOBxQsngnmvFsSBtyjlknwx2NbPYs=s88-c-k-c0x00ffffff-no-rj")</f>
        <v>https://yt3.ggpht.com/ytc/AKedOLRr2HAPZQUZ3zjOBxQsngnmvFsSBtyjlknwx2NbPYs=s88-c-k-c0x00ffffff-no-rj</v>
      </c>
      <c r="G131" s="66"/>
      <c r="H131" s="70" t="s">
        <v>961</v>
      </c>
      <c r="I131" s="71"/>
      <c r="J131" s="71" t="s">
        <v>159</v>
      </c>
      <c r="K131" s="70" t="s">
        <v>961</v>
      </c>
      <c r="L131" s="74">
        <v>1</v>
      </c>
      <c r="M131" s="75">
        <v>4174.5595703125</v>
      </c>
      <c r="N131" s="75">
        <v>1978.2406005859375</v>
      </c>
      <c r="O131" s="76"/>
      <c r="P131" s="77"/>
      <c r="Q131" s="77"/>
      <c r="R131" s="89"/>
      <c r="S131" s="49">
        <v>0</v>
      </c>
      <c r="T131" s="49">
        <v>1</v>
      </c>
      <c r="U131" s="50">
        <v>0</v>
      </c>
      <c r="V131" s="50">
        <v>0.163648</v>
      </c>
      <c r="W131" s="50">
        <v>0.012051</v>
      </c>
      <c r="X131" s="50">
        <v>0.003904</v>
      </c>
      <c r="Y131" s="50">
        <v>0</v>
      </c>
      <c r="Z131" s="50">
        <v>0</v>
      </c>
      <c r="AA131" s="72">
        <v>131</v>
      </c>
      <c r="AB131" s="72"/>
      <c r="AC131" s="73"/>
      <c r="AD131" s="80" t="s">
        <v>961</v>
      </c>
      <c r="AE131" s="80" t="s">
        <v>1314</v>
      </c>
      <c r="AF131" s="80"/>
      <c r="AG131" s="80"/>
      <c r="AH131" s="80"/>
      <c r="AI131" s="80"/>
      <c r="AJ131" s="87">
        <v>40258.925729166665</v>
      </c>
      <c r="AK131" s="85" t="str">
        <f>HYPERLINK("https://yt3.ggpht.com/ytc/AKedOLRr2HAPZQUZ3zjOBxQsngnmvFsSBtyjlknwx2NbPYs=s88-c-k-c0x00ffffff-no-rj")</f>
        <v>https://yt3.ggpht.com/ytc/AKedOLRr2HAPZQUZ3zjOBxQsngnmvFsSBtyjlknwx2NbPYs=s88-c-k-c0x00ffffff-no-rj</v>
      </c>
      <c r="AL131" s="80">
        <v>39850</v>
      </c>
      <c r="AM131" s="80">
        <v>0</v>
      </c>
      <c r="AN131" s="80">
        <v>0</v>
      </c>
      <c r="AO131" s="80" t="b">
        <v>1</v>
      </c>
      <c r="AP131" s="80">
        <v>19</v>
      </c>
      <c r="AQ131" s="80"/>
      <c r="AR131" s="80"/>
      <c r="AS131" s="80" t="s">
        <v>1376</v>
      </c>
      <c r="AT131" s="85" t="str">
        <f>HYPERLINK("https://www.youtube.com/channel/UCkC3h3DJjv33UNvnAUmP8QA")</f>
        <v>https://www.youtube.com/channel/UCkC3h3DJjv33UNvnAUmP8QA</v>
      </c>
      <c r="AU131" s="80" t="str">
        <f>REPLACE(INDEX(GroupVertices[Group],MATCH(Vertices[[#This Row],[Vertex]],GroupVertices[Vertex],0)),1,1,"")</f>
        <v>6</v>
      </c>
      <c r="AV131" s="49">
        <v>1</v>
      </c>
      <c r="AW131" s="50">
        <v>8.333333333333334</v>
      </c>
      <c r="AX131" s="49">
        <v>0</v>
      </c>
      <c r="AY131" s="50">
        <v>0</v>
      </c>
      <c r="AZ131" s="49">
        <v>0</v>
      </c>
      <c r="BA131" s="50">
        <v>0</v>
      </c>
      <c r="BB131" s="49">
        <v>11</v>
      </c>
      <c r="BC131" s="50">
        <v>91.66666666666667</v>
      </c>
      <c r="BD131" s="49">
        <v>12</v>
      </c>
      <c r="BE131" s="49"/>
      <c r="BF131" s="49"/>
      <c r="BG131" s="49"/>
      <c r="BH131" s="49"/>
      <c r="BI131" s="49"/>
      <c r="BJ131" s="49"/>
      <c r="BK131" s="111" t="s">
        <v>2458</v>
      </c>
      <c r="BL131" s="111" t="s">
        <v>2458</v>
      </c>
      <c r="BM131" s="111" t="s">
        <v>2647</v>
      </c>
      <c r="BN131" s="111" t="s">
        <v>2647</v>
      </c>
      <c r="BO131" s="2"/>
      <c r="BP131" s="3"/>
      <c r="BQ131" s="3"/>
      <c r="BR131" s="3"/>
      <c r="BS131" s="3"/>
    </row>
    <row r="132" spans="1:71" ht="15">
      <c r="A132" s="65" t="s">
        <v>449</v>
      </c>
      <c r="B132" s="66"/>
      <c r="C132" s="66"/>
      <c r="D132" s="67">
        <v>150</v>
      </c>
      <c r="E132" s="69"/>
      <c r="F132" s="103" t="str">
        <f>HYPERLINK("https://yt3.ggpht.com/ytc/AKedOLRl6rRwGbUSv6Y65A3n9Cfva5wFnW0Oa6tjrQ=s88-c-k-c0x00ffffff-no-rj")</f>
        <v>https://yt3.ggpht.com/ytc/AKedOLRl6rRwGbUSv6Y65A3n9Cfva5wFnW0Oa6tjrQ=s88-c-k-c0x00ffffff-no-rj</v>
      </c>
      <c r="G132" s="66"/>
      <c r="H132" s="70" t="s">
        <v>962</v>
      </c>
      <c r="I132" s="71"/>
      <c r="J132" s="71" t="s">
        <v>159</v>
      </c>
      <c r="K132" s="70" t="s">
        <v>962</v>
      </c>
      <c r="L132" s="74">
        <v>1</v>
      </c>
      <c r="M132" s="75">
        <v>5436.94091796875</v>
      </c>
      <c r="N132" s="75">
        <v>1949.6646728515625</v>
      </c>
      <c r="O132" s="76"/>
      <c r="P132" s="77"/>
      <c r="Q132" s="77"/>
      <c r="R132" s="89"/>
      <c r="S132" s="49">
        <v>0</v>
      </c>
      <c r="T132" s="49">
        <v>1</v>
      </c>
      <c r="U132" s="50">
        <v>0</v>
      </c>
      <c r="V132" s="50">
        <v>0.163648</v>
      </c>
      <c r="W132" s="50">
        <v>0.012051</v>
      </c>
      <c r="X132" s="50">
        <v>0.003904</v>
      </c>
      <c r="Y132" s="50">
        <v>0</v>
      </c>
      <c r="Z132" s="50">
        <v>0</v>
      </c>
      <c r="AA132" s="72">
        <v>132</v>
      </c>
      <c r="AB132" s="72"/>
      <c r="AC132" s="73"/>
      <c r="AD132" s="80" t="s">
        <v>962</v>
      </c>
      <c r="AE132" s="80"/>
      <c r="AF132" s="80"/>
      <c r="AG132" s="80"/>
      <c r="AH132" s="80"/>
      <c r="AI132" s="80"/>
      <c r="AJ132" s="87">
        <v>43972.178032407406</v>
      </c>
      <c r="AK132" s="85" t="str">
        <f>HYPERLINK("https://yt3.ggpht.com/ytc/AKedOLRl6rRwGbUSv6Y65A3n9Cfva5wFnW0Oa6tjrQ=s88-c-k-c0x00ffffff-no-rj")</f>
        <v>https://yt3.ggpht.com/ytc/AKedOLRl6rRwGbUSv6Y65A3n9Cfva5wFnW0Oa6tjrQ=s88-c-k-c0x00ffffff-no-rj</v>
      </c>
      <c r="AL132" s="80">
        <v>0</v>
      </c>
      <c r="AM132" s="80">
        <v>0</v>
      </c>
      <c r="AN132" s="80">
        <v>0</v>
      </c>
      <c r="AO132" s="80" t="b">
        <v>0</v>
      </c>
      <c r="AP132" s="80">
        <v>0</v>
      </c>
      <c r="AQ132" s="80"/>
      <c r="AR132" s="80"/>
      <c r="AS132" s="80" t="s">
        <v>1376</v>
      </c>
      <c r="AT132" s="85" t="str">
        <f>HYPERLINK("https://www.youtube.com/channel/UCs_w8C3KKuchf7tTDjLH6EQ")</f>
        <v>https://www.youtube.com/channel/UCs_w8C3KKuchf7tTDjLH6EQ</v>
      </c>
      <c r="AU132" s="80" t="str">
        <f>REPLACE(INDEX(GroupVertices[Group],MATCH(Vertices[[#This Row],[Vertex]],GroupVertices[Vertex],0)),1,1,"")</f>
        <v>6</v>
      </c>
      <c r="AV132" s="49">
        <v>0</v>
      </c>
      <c r="AW132" s="50">
        <v>0</v>
      </c>
      <c r="AX132" s="49">
        <v>0</v>
      </c>
      <c r="AY132" s="50">
        <v>0</v>
      </c>
      <c r="AZ132" s="49">
        <v>0</v>
      </c>
      <c r="BA132" s="50">
        <v>0</v>
      </c>
      <c r="BB132" s="49">
        <v>4</v>
      </c>
      <c r="BC132" s="50">
        <v>100</v>
      </c>
      <c r="BD132" s="49">
        <v>4</v>
      </c>
      <c r="BE132" s="49"/>
      <c r="BF132" s="49"/>
      <c r="BG132" s="49"/>
      <c r="BH132" s="49"/>
      <c r="BI132" s="49"/>
      <c r="BJ132" s="49"/>
      <c r="BK132" s="111" t="s">
        <v>2459</v>
      </c>
      <c r="BL132" s="111" t="s">
        <v>2459</v>
      </c>
      <c r="BM132" s="111" t="s">
        <v>2648</v>
      </c>
      <c r="BN132" s="111" t="s">
        <v>2648</v>
      </c>
      <c r="BO132" s="2"/>
      <c r="BP132" s="3"/>
      <c r="BQ132" s="3"/>
      <c r="BR132" s="3"/>
      <c r="BS132" s="3"/>
    </row>
    <row r="133" spans="1:71" ht="15">
      <c r="A133" s="65" t="s">
        <v>451</v>
      </c>
      <c r="B133" s="66"/>
      <c r="C133" s="66"/>
      <c r="D133" s="67">
        <v>150</v>
      </c>
      <c r="E133" s="69"/>
      <c r="F133" s="103" t="str">
        <f>HYPERLINK("https://yt3.ggpht.com/ytc/AKedOLQlbNSSKebjMbnnVxr16RYCrupcUgsL9uFozQ=s88-c-k-c0x00ffffff-no-rj")</f>
        <v>https://yt3.ggpht.com/ytc/AKedOLQlbNSSKebjMbnnVxr16RYCrupcUgsL9uFozQ=s88-c-k-c0x00ffffff-no-rj</v>
      </c>
      <c r="G133" s="66"/>
      <c r="H133" s="70" t="s">
        <v>964</v>
      </c>
      <c r="I133" s="71"/>
      <c r="J133" s="71" t="s">
        <v>159</v>
      </c>
      <c r="K133" s="70" t="s">
        <v>964</v>
      </c>
      <c r="L133" s="74">
        <v>1</v>
      </c>
      <c r="M133" s="75">
        <v>5510.0810546875</v>
      </c>
      <c r="N133" s="75">
        <v>1099.915771484375</v>
      </c>
      <c r="O133" s="76"/>
      <c r="P133" s="77"/>
      <c r="Q133" s="77"/>
      <c r="R133" s="89"/>
      <c r="S133" s="49">
        <v>1</v>
      </c>
      <c r="T133" s="49">
        <v>1</v>
      </c>
      <c r="U133" s="50">
        <v>0</v>
      </c>
      <c r="V133" s="50">
        <v>0.163648</v>
      </c>
      <c r="W133" s="50">
        <v>0.012051</v>
      </c>
      <c r="X133" s="50">
        <v>0.003904</v>
      </c>
      <c r="Y133" s="50">
        <v>0</v>
      </c>
      <c r="Z133" s="50">
        <v>1</v>
      </c>
      <c r="AA133" s="72">
        <v>133</v>
      </c>
      <c r="AB133" s="72"/>
      <c r="AC133" s="73"/>
      <c r="AD133" s="80" t="s">
        <v>964</v>
      </c>
      <c r="AE133" s="80"/>
      <c r="AF133" s="80"/>
      <c r="AG133" s="80"/>
      <c r="AH133" s="80"/>
      <c r="AI133" s="80"/>
      <c r="AJ133" s="87">
        <v>44015.69081018519</v>
      </c>
      <c r="AK133" s="85" t="str">
        <f>HYPERLINK("https://yt3.ggpht.com/ytc/AKedOLQlbNSSKebjMbnnVxr16RYCrupcUgsL9uFozQ=s88-c-k-c0x00ffffff-no-rj")</f>
        <v>https://yt3.ggpht.com/ytc/AKedOLQlbNSSKebjMbnnVxr16RYCrupcUgsL9uFozQ=s88-c-k-c0x00ffffff-no-rj</v>
      </c>
      <c r="AL133" s="80">
        <v>0</v>
      </c>
      <c r="AM133" s="80">
        <v>0</v>
      </c>
      <c r="AN133" s="80">
        <v>0</v>
      </c>
      <c r="AO133" s="80" t="b">
        <v>0</v>
      </c>
      <c r="AP133" s="80">
        <v>0</v>
      </c>
      <c r="AQ133" s="80"/>
      <c r="AR133" s="80"/>
      <c r="AS133" s="80" t="s">
        <v>1376</v>
      </c>
      <c r="AT133" s="85" t="str">
        <f>HYPERLINK("https://www.youtube.com/channel/UC33YvdKdCbETlDVRz_I42sw")</f>
        <v>https://www.youtube.com/channel/UC33YvdKdCbETlDVRz_I42sw</v>
      </c>
      <c r="AU133" s="80" t="str">
        <f>REPLACE(INDEX(GroupVertices[Group],MATCH(Vertices[[#This Row],[Vertex]],GroupVertices[Vertex],0)),1,1,"")</f>
        <v>6</v>
      </c>
      <c r="AV133" s="49">
        <v>0</v>
      </c>
      <c r="AW133" s="50">
        <v>0</v>
      </c>
      <c r="AX133" s="49">
        <v>0</v>
      </c>
      <c r="AY133" s="50">
        <v>0</v>
      </c>
      <c r="AZ133" s="49">
        <v>0</v>
      </c>
      <c r="BA133" s="50">
        <v>0</v>
      </c>
      <c r="BB133" s="49">
        <v>10</v>
      </c>
      <c r="BC133" s="50">
        <v>100</v>
      </c>
      <c r="BD133" s="49">
        <v>10</v>
      </c>
      <c r="BE133" s="49"/>
      <c r="BF133" s="49"/>
      <c r="BG133" s="49"/>
      <c r="BH133" s="49"/>
      <c r="BI133" s="49"/>
      <c r="BJ133" s="49"/>
      <c r="BK133" s="111" t="s">
        <v>2460</v>
      </c>
      <c r="BL133" s="111" t="s">
        <v>2460</v>
      </c>
      <c r="BM133" s="111" t="s">
        <v>2649</v>
      </c>
      <c r="BN133" s="111" t="s">
        <v>2649</v>
      </c>
      <c r="BO133" s="2"/>
      <c r="BP133" s="3"/>
      <c r="BQ133" s="3"/>
      <c r="BR133" s="3"/>
      <c r="BS133" s="3"/>
    </row>
    <row r="134" spans="1:71" ht="15">
      <c r="A134" s="65" t="s">
        <v>452</v>
      </c>
      <c r="B134" s="66"/>
      <c r="C134" s="66"/>
      <c r="D134" s="67">
        <v>150</v>
      </c>
      <c r="E134" s="69"/>
      <c r="F134" s="103" t="str">
        <f>HYPERLINK("https://yt3.ggpht.com/ytc/AKedOLQrOp3M4fqqtkONNP6bXsHn-_CYBRdVIYNZkswaeg=s88-c-k-c0x00ffffff-no-rj")</f>
        <v>https://yt3.ggpht.com/ytc/AKedOLQrOp3M4fqqtkONNP6bXsHn-_CYBRdVIYNZkswaeg=s88-c-k-c0x00ffffff-no-rj</v>
      </c>
      <c r="G134" s="66"/>
      <c r="H134" s="70" t="s">
        <v>965</v>
      </c>
      <c r="I134" s="71"/>
      <c r="J134" s="71" t="s">
        <v>159</v>
      </c>
      <c r="K134" s="70" t="s">
        <v>965</v>
      </c>
      <c r="L134" s="74">
        <v>1</v>
      </c>
      <c r="M134" s="75">
        <v>3967.971923828125</v>
      </c>
      <c r="N134" s="75">
        <v>7261.4169921875</v>
      </c>
      <c r="O134" s="76"/>
      <c r="P134" s="77"/>
      <c r="Q134" s="77"/>
      <c r="R134" s="89"/>
      <c r="S134" s="49">
        <v>0</v>
      </c>
      <c r="T134" s="49">
        <v>1</v>
      </c>
      <c r="U134" s="50">
        <v>0</v>
      </c>
      <c r="V134" s="50">
        <v>0.103071</v>
      </c>
      <c r="W134" s="50">
        <v>7.7E-05</v>
      </c>
      <c r="X134" s="50">
        <v>0.003956</v>
      </c>
      <c r="Y134" s="50">
        <v>0</v>
      </c>
      <c r="Z134" s="50">
        <v>0</v>
      </c>
      <c r="AA134" s="72">
        <v>134</v>
      </c>
      <c r="AB134" s="72"/>
      <c r="AC134" s="73"/>
      <c r="AD134" s="80" t="s">
        <v>965</v>
      </c>
      <c r="AE134" s="80"/>
      <c r="AF134" s="80"/>
      <c r="AG134" s="80"/>
      <c r="AH134" s="80"/>
      <c r="AI134" s="80"/>
      <c r="AJ134" s="87">
        <v>40899.04900462963</v>
      </c>
      <c r="AK134" s="85" t="str">
        <f>HYPERLINK("https://yt3.ggpht.com/ytc/AKedOLQrOp3M4fqqtkONNP6bXsHn-_CYBRdVIYNZkswaeg=s88-c-k-c0x00ffffff-no-rj")</f>
        <v>https://yt3.ggpht.com/ytc/AKedOLQrOp3M4fqqtkONNP6bXsHn-_CYBRdVIYNZkswaeg=s88-c-k-c0x00ffffff-no-rj</v>
      </c>
      <c r="AL134" s="80">
        <v>0</v>
      </c>
      <c r="AM134" s="80">
        <v>0</v>
      </c>
      <c r="AN134" s="80">
        <v>0</v>
      </c>
      <c r="AO134" s="80" t="b">
        <v>0</v>
      </c>
      <c r="AP134" s="80">
        <v>0</v>
      </c>
      <c r="AQ134" s="80"/>
      <c r="AR134" s="80"/>
      <c r="AS134" s="80" t="s">
        <v>1376</v>
      </c>
      <c r="AT134" s="85" t="str">
        <f>HYPERLINK("https://www.youtube.com/channel/UCMS61u_TGqi-c_UEhywFcQg")</f>
        <v>https://www.youtube.com/channel/UCMS61u_TGqi-c_UEhywFcQg</v>
      </c>
      <c r="AU134" s="80" t="str">
        <f>REPLACE(INDEX(GroupVertices[Group],MATCH(Vertices[[#This Row],[Vertex]],GroupVertices[Vertex],0)),1,1,"")</f>
        <v>4</v>
      </c>
      <c r="AV134" s="49">
        <v>0</v>
      </c>
      <c r="AW134" s="50">
        <v>0</v>
      </c>
      <c r="AX134" s="49">
        <v>0</v>
      </c>
      <c r="AY134" s="50">
        <v>0</v>
      </c>
      <c r="AZ134" s="49">
        <v>0</v>
      </c>
      <c r="BA134" s="50">
        <v>0</v>
      </c>
      <c r="BB134" s="49">
        <v>1</v>
      </c>
      <c r="BC134" s="50">
        <v>100</v>
      </c>
      <c r="BD134" s="49">
        <v>1</v>
      </c>
      <c r="BE134" s="49"/>
      <c r="BF134" s="49"/>
      <c r="BG134" s="49"/>
      <c r="BH134" s="49"/>
      <c r="BI134" s="49"/>
      <c r="BJ134" s="49"/>
      <c r="BK134" s="111" t="s">
        <v>1239</v>
      </c>
      <c r="BL134" s="111" t="s">
        <v>1239</v>
      </c>
      <c r="BM134" s="111" t="s">
        <v>1239</v>
      </c>
      <c r="BN134" s="111" t="s">
        <v>1239</v>
      </c>
      <c r="BO134" s="2"/>
      <c r="BP134" s="3"/>
      <c r="BQ134" s="3"/>
      <c r="BR134" s="3"/>
      <c r="BS134" s="3"/>
    </row>
    <row r="135" spans="1:71" ht="15">
      <c r="A135" s="65" t="s">
        <v>453</v>
      </c>
      <c r="B135" s="66"/>
      <c r="C135" s="66"/>
      <c r="D135" s="67">
        <v>150</v>
      </c>
      <c r="E135" s="69"/>
      <c r="F135" s="103" t="str">
        <f>HYPERLINK("https://yt3.ggpht.com/ytc/AKedOLTL_mtyreQfcP0btrAgFfYqTOeDsxEPcxonQm1t=s88-c-k-c0x00ffffff-no-rj")</f>
        <v>https://yt3.ggpht.com/ytc/AKedOLTL_mtyreQfcP0btrAgFfYqTOeDsxEPcxonQm1t=s88-c-k-c0x00ffffff-no-rj</v>
      </c>
      <c r="G135" s="66"/>
      <c r="H135" s="70" t="s">
        <v>966</v>
      </c>
      <c r="I135" s="71"/>
      <c r="J135" s="71" t="s">
        <v>159</v>
      </c>
      <c r="K135" s="70" t="s">
        <v>966</v>
      </c>
      <c r="L135" s="74">
        <v>1</v>
      </c>
      <c r="M135" s="75">
        <v>4236.10009765625</v>
      </c>
      <c r="N135" s="75">
        <v>6926.71044921875</v>
      </c>
      <c r="O135" s="76"/>
      <c r="P135" s="77"/>
      <c r="Q135" s="77"/>
      <c r="R135" s="89"/>
      <c r="S135" s="49">
        <v>0</v>
      </c>
      <c r="T135" s="49">
        <v>1</v>
      </c>
      <c r="U135" s="50">
        <v>0</v>
      </c>
      <c r="V135" s="50">
        <v>0.103071</v>
      </c>
      <c r="W135" s="50">
        <v>7.7E-05</v>
      </c>
      <c r="X135" s="50">
        <v>0.003956</v>
      </c>
      <c r="Y135" s="50">
        <v>0</v>
      </c>
      <c r="Z135" s="50">
        <v>0</v>
      </c>
      <c r="AA135" s="72">
        <v>135</v>
      </c>
      <c r="AB135" s="72"/>
      <c r="AC135" s="73"/>
      <c r="AD135" s="80" t="s">
        <v>966</v>
      </c>
      <c r="AE135" s="80" t="s">
        <v>1315</v>
      </c>
      <c r="AF135" s="80"/>
      <c r="AG135" s="80"/>
      <c r="AH135" s="80"/>
      <c r="AI135" s="80"/>
      <c r="AJ135" s="87">
        <v>44089.23604166666</v>
      </c>
      <c r="AK135" s="85" t="str">
        <f>HYPERLINK("https://yt3.ggpht.com/ytc/AKedOLTL_mtyreQfcP0btrAgFfYqTOeDsxEPcxonQm1t=s88-c-k-c0x00ffffff-no-rj")</f>
        <v>https://yt3.ggpht.com/ytc/AKedOLTL_mtyreQfcP0btrAgFfYqTOeDsxEPcxonQm1t=s88-c-k-c0x00ffffff-no-rj</v>
      </c>
      <c r="AL135" s="80">
        <v>77004</v>
      </c>
      <c r="AM135" s="80">
        <v>0</v>
      </c>
      <c r="AN135" s="80">
        <v>3010</v>
      </c>
      <c r="AO135" s="80" t="b">
        <v>0</v>
      </c>
      <c r="AP135" s="80">
        <v>22</v>
      </c>
      <c r="AQ135" s="80"/>
      <c r="AR135" s="80"/>
      <c r="AS135" s="80" t="s">
        <v>1376</v>
      </c>
      <c r="AT135" s="85" t="str">
        <f>HYPERLINK("https://www.youtube.com/channel/UCeIJT2rmwfiwi5iuVCrorfQ")</f>
        <v>https://www.youtube.com/channel/UCeIJT2rmwfiwi5iuVCrorfQ</v>
      </c>
      <c r="AU135" s="80" t="str">
        <f>REPLACE(INDEX(GroupVertices[Group],MATCH(Vertices[[#This Row],[Vertex]],GroupVertices[Vertex],0)),1,1,"")</f>
        <v>4</v>
      </c>
      <c r="AV135" s="49">
        <v>1</v>
      </c>
      <c r="AW135" s="50">
        <v>100</v>
      </c>
      <c r="AX135" s="49">
        <v>0</v>
      </c>
      <c r="AY135" s="50">
        <v>0</v>
      </c>
      <c r="AZ135" s="49">
        <v>0</v>
      </c>
      <c r="BA135" s="50">
        <v>0</v>
      </c>
      <c r="BB135" s="49">
        <v>0</v>
      </c>
      <c r="BC135" s="50">
        <v>0</v>
      </c>
      <c r="BD135" s="49">
        <v>1</v>
      </c>
      <c r="BE135" s="49"/>
      <c r="BF135" s="49"/>
      <c r="BG135" s="49"/>
      <c r="BH135" s="49"/>
      <c r="BI135" s="49"/>
      <c r="BJ135" s="49"/>
      <c r="BK135" s="111" t="s">
        <v>1542</v>
      </c>
      <c r="BL135" s="111" t="s">
        <v>1542</v>
      </c>
      <c r="BM135" s="111" t="s">
        <v>1239</v>
      </c>
      <c r="BN135" s="111" t="s">
        <v>1239</v>
      </c>
      <c r="BO135" s="2"/>
      <c r="BP135" s="3"/>
      <c r="BQ135" s="3"/>
      <c r="BR135" s="3"/>
      <c r="BS135" s="3"/>
    </row>
    <row r="136" spans="1:71" ht="15">
      <c r="A136" s="65" t="s">
        <v>454</v>
      </c>
      <c r="B136" s="66"/>
      <c r="C136" s="66"/>
      <c r="D136" s="67">
        <v>150</v>
      </c>
      <c r="E136" s="69"/>
      <c r="F136" s="103" t="str">
        <f>HYPERLINK("https://yt3.ggpht.com/ytc/AKedOLSy2bHOfszBiJy2EI2eACpPATNATOOU9u3zPfTzUQ=s88-c-k-c0x00ffffff-no-rj")</f>
        <v>https://yt3.ggpht.com/ytc/AKedOLSy2bHOfszBiJy2EI2eACpPATNATOOU9u3zPfTzUQ=s88-c-k-c0x00ffffff-no-rj</v>
      </c>
      <c r="G136" s="66"/>
      <c r="H136" s="70" t="s">
        <v>967</v>
      </c>
      <c r="I136" s="71"/>
      <c r="J136" s="71" t="s">
        <v>159</v>
      </c>
      <c r="K136" s="70" t="s">
        <v>967</v>
      </c>
      <c r="L136" s="74">
        <v>1</v>
      </c>
      <c r="M136" s="75">
        <v>3848.297607421875</v>
      </c>
      <c r="N136" s="75">
        <v>8311.298828125</v>
      </c>
      <c r="O136" s="76"/>
      <c r="P136" s="77"/>
      <c r="Q136" s="77"/>
      <c r="R136" s="89"/>
      <c r="S136" s="49">
        <v>0</v>
      </c>
      <c r="T136" s="49">
        <v>1</v>
      </c>
      <c r="U136" s="50">
        <v>0</v>
      </c>
      <c r="V136" s="50">
        <v>0.103071</v>
      </c>
      <c r="W136" s="50">
        <v>7.7E-05</v>
      </c>
      <c r="X136" s="50">
        <v>0.003956</v>
      </c>
      <c r="Y136" s="50">
        <v>0</v>
      </c>
      <c r="Z136" s="50">
        <v>0</v>
      </c>
      <c r="AA136" s="72">
        <v>136</v>
      </c>
      <c r="AB136" s="72"/>
      <c r="AC136" s="73"/>
      <c r="AD136" s="80" t="s">
        <v>967</v>
      </c>
      <c r="AE136" s="80" t="s">
        <v>1316</v>
      </c>
      <c r="AF136" s="80"/>
      <c r="AG136" s="80"/>
      <c r="AH136" s="80"/>
      <c r="AI136" s="80"/>
      <c r="AJ136" s="87">
        <v>40925.25241898148</v>
      </c>
      <c r="AK136" s="85" t="str">
        <f>HYPERLINK("https://yt3.ggpht.com/ytc/AKedOLSy2bHOfszBiJy2EI2eACpPATNATOOU9u3zPfTzUQ=s88-c-k-c0x00ffffff-no-rj")</f>
        <v>https://yt3.ggpht.com/ytc/AKedOLSy2bHOfszBiJy2EI2eACpPATNATOOU9u3zPfTzUQ=s88-c-k-c0x00ffffff-no-rj</v>
      </c>
      <c r="AL136" s="80">
        <v>14493</v>
      </c>
      <c r="AM136" s="80">
        <v>0</v>
      </c>
      <c r="AN136" s="80">
        <v>443</v>
      </c>
      <c r="AO136" s="80" t="b">
        <v>0</v>
      </c>
      <c r="AP136" s="80">
        <v>68</v>
      </c>
      <c r="AQ136" s="80"/>
      <c r="AR136" s="80"/>
      <c r="AS136" s="80" t="s">
        <v>1376</v>
      </c>
      <c r="AT136" s="85" t="str">
        <f>HYPERLINK("https://www.youtube.com/channel/UCA3wy2ieu53FkBf19GeaSzw")</f>
        <v>https://www.youtube.com/channel/UCA3wy2ieu53FkBf19GeaSzw</v>
      </c>
      <c r="AU136" s="80" t="str">
        <f>REPLACE(INDEX(GroupVertices[Group],MATCH(Vertices[[#This Row],[Vertex]],GroupVertices[Vertex],0)),1,1,"")</f>
        <v>4</v>
      </c>
      <c r="AV136" s="49">
        <v>0</v>
      </c>
      <c r="AW136" s="50">
        <v>0</v>
      </c>
      <c r="AX136" s="49">
        <v>0</v>
      </c>
      <c r="AY136" s="50">
        <v>0</v>
      </c>
      <c r="AZ136" s="49">
        <v>0</v>
      </c>
      <c r="BA136" s="50">
        <v>0</v>
      </c>
      <c r="BB136" s="49">
        <v>14</v>
      </c>
      <c r="BC136" s="50">
        <v>100</v>
      </c>
      <c r="BD136" s="49">
        <v>14</v>
      </c>
      <c r="BE136" s="49"/>
      <c r="BF136" s="49"/>
      <c r="BG136" s="49"/>
      <c r="BH136" s="49"/>
      <c r="BI136" s="49"/>
      <c r="BJ136" s="49"/>
      <c r="BK136" s="111" t="s">
        <v>2461</v>
      </c>
      <c r="BL136" s="111" t="s">
        <v>2461</v>
      </c>
      <c r="BM136" s="111" t="s">
        <v>2650</v>
      </c>
      <c r="BN136" s="111" t="s">
        <v>2650</v>
      </c>
      <c r="BO136" s="2"/>
      <c r="BP136" s="3"/>
      <c r="BQ136" s="3"/>
      <c r="BR136" s="3"/>
      <c r="BS136" s="3"/>
    </row>
    <row r="137" spans="1:71" ht="15">
      <c r="A137" s="65" t="s">
        <v>455</v>
      </c>
      <c r="B137" s="66"/>
      <c r="C137" s="66"/>
      <c r="D137" s="67">
        <v>150</v>
      </c>
      <c r="E137" s="69"/>
      <c r="F137" s="103" t="str">
        <f>HYPERLINK("https://yt3.ggpht.com/ytc/AKedOLSbWWiSk-T1Yxvqpl4pYoQztC2OOx9YSHNdRCdg=s88-c-k-c0x00ffffff-no-rj")</f>
        <v>https://yt3.ggpht.com/ytc/AKedOLSbWWiSk-T1Yxvqpl4pYoQztC2OOx9YSHNdRCdg=s88-c-k-c0x00ffffff-no-rj</v>
      </c>
      <c r="G137" s="66"/>
      <c r="H137" s="70" t="s">
        <v>968</v>
      </c>
      <c r="I137" s="71"/>
      <c r="J137" s="71" t="s">
        <v>159</v>
      </c>
      <c r="K137" s="70" t="s">
        <v>968</v>
      </c>
      <c r="L137" s="74">
        <v>1</v>
      </c>
      <c r="M137" s="75">
        <v>8788.9296875</v>
      </c>
      <c r="N137" s="75">
        <v>4267.95556640625</v>
      </c>
      <c r="O137" s="76"/>
      <c r="P137" s="77"/>
      <c r="Q137" s="77"/>
      <c r="R137" s="89"/>
      <c r="S137" s="49">
        <v>0</v>
      </c>
      <c r="T137" s="49">
        <v>1</v>
      </c>
      <c r="U137" s="50">
        <v>0</v>
      </c>
      <c r="V137" s="50">
        <v>0.008072</v>
      </c>
      <c r="W137" s="50">
        <v>0</v>
      </c>
      <c r="X137" s="50">
        <v>0.004013</v>
      </c>
      <c r="Y137" s="50">
        <v>0</v>
      </c>
      <c r="Z137" s="50">
        <v>0</v>
      </c>
      <c r="AA137" s="72">
        <v>137</v>
      </c>
      <c r="AB137" s="72"/>
      <c r="AC137" s="73"/>
      <c r="AD137" s="80" t="s">
        <v>968</v>
      </c>
      <c r="AE137" s="80" t="s">
        <v>1317</v>
      </c>
      <c r="AF137" s="80"/>
      <c r="AG137" s="80"/>
      <c r="AH137" s="80"/>
      <c r="AI137" s="80"/>
      <c r="AJ137" s="87">
        <v>41582.65070601852</v>
      </c>
      <c r="AK137" s="85" t="str">
        <f>HYPERLINK("https://yt3.ggpht.com/ytc/AKedOLSbWWiSk-T1Yxvqpl4pYoQztC2OOx9YSHNdRCdg=s88-c-k-c0x00ffffff-no-rj")</f>
        <v>https://yt3.ggpht.com/ytc/AKedOLSbWWiSk-T1Yxvqpl4pYoQztC2OOx9YSHNdRCdg=s88-c-k-c0x00ffffff-no-rj</v>
      </c>
      <c r="AL137" s="80">
        <v>3239</v>
      </c>
      <c r="AM137" s="80">
        <v>0</v>
      </c>
      <c r="AN137" s="80">
        <v>30</v>
      </c>
      <c r="AO137" s="80" t="b">
        <v>0</v>
      </c>
      <c r="AP137" s="80">
        <v>11</v>
      </c>
      <c r="AQ137" s="80"/>
      <c r="AR137" s="80"/>
      <c r="AS137" s="80" t="s">
        <v>1376</v>
      </c>
      <c r="AT137" s="85" t="str">
        <f>HYPERLINK("https://www.youtube.com/channel/UCqdyyZiSL4ZHyXE11pNa-PQ")</f>
        <v>https://www.youtube.com/channel/UCqdyyZiSL4ZHyXE11pNa-PQ</v>
      </c>
      <c r="AU137" s="80" t="str">
        <f>REPLACE(INDEX(GroupVertices[Group],MATCH(Vertices[[#This Row],[Vertex]],GroupVertices[Vertex],0)),1,1,"")</f>
        <v>12</v>
      </c>
      <c r="AV137" s="49">
        <v>0</v>
      </c>
      <c r="AW137" s="50">
        <v>0</v>
      </c>
      <c r="AX137" s="49">
        <v>0</v>
      </c>
      <c r="AY137" s="50">
        <v>0</v>
      </c>
      <c r="AZ137" s="49">
        <v>0</v>
      </c>
      <c r="BA137" s="50">
        <v>0</v>
      </c>
      <c r="BB137" s="49">
        <v>1</v>
      </c>
      <c r="BC137" s="50">
        <v>100</v>
      </c>
      <c r="BD137" s="49">
        <v>1</v>
      </c>
      <c r="BE137" s="49"/>
      <c r="BF137" s="49"/>
      <c r="BG137" s="49"/>
      <c r="BH137" s="49"/>
      <c r="BI137" s="49"/>
      <c r="BJ137" s="49"/>
      <c r="BK137" s="111" t="s">
        <v>2462</v>
      </c>
      <c r="BL137" s="111" t="s">
        <v>2462</v>
      </c>
      <c r="BM137" s="111" t="s">
        <v>1239</v>
      </c>
      <c r="BN137" s="111" t="s">
        <v>1239</v>
      </c>
      <c r="BO137" s="2"/>
      <c r="BP137" s="3"/>
      <c r="BQ137" s="3"/>
      <c r="BR137" s="3"/>
      <c r="BS137" s="3"/>
    </row>
    <row r="138" spans="1:71" ht="15">
      <c r="A138" s="65" t="s">
        <v>559</v>
      </c>
      <c r="B138" s="66"/>
      <c r="C138" s="66"/>
      <c r="D138" s="67">
        <v>154.88505747126436</v>
      </c>
      <c r="E138" s="69"/>
      <c r="F138" s="103" t="str">
        <f>HYPERLINK("https://yt3.ggpht.com/ytc/AKedOLSjmmA-Z46gYbZ-5aKPNB3oZiamWDkG6JBHwUq8=s88-c-k-c0x00ffffff-no-rj")</f>
        <v>https://yt3.ggpht.com/ytc/AKedOLSjmmA-Z46gYbZ-5aKPNB3oZiamWDkG6JBHwUq8=s88-c-k-c0x00ffffff-no-rj</v>
      </c>
      <c r="G138" s="66"/>
      <c r="H138" s="70" t="s">
        <v>1269</v>
      </c>
      <c r="I138" s="71"/>
      <c r="J138" s="71" t="s">
        <v>75</v>
      </c>
      <c r="K138" s="70" t="s">
        <v>1269</v>
      </c>
      <c r="L138" s="74">
        <v>5.3268377711287656</v>
      </c>
      <c r="M138" s="75">
        <v>8788.9296875</v>
      </c>
      <c r="N138" s="75">
        <v>3569.495849609375</v>
      </c>
      <c r="O138" s="76"/>
      <c r="P138" s="77"/>
      <c r="Q138" s="77"/>
      <c r="R138" s="89"/>
      <c r="S138" s="49">
        <v>4</v>
      </c>
      <c r="T138" s="49">
        <v>1</v>
      </c>
      <c r="U138" s="50">
        <v>6</v>
      </c>
      <c r="V138" s="50">
        <v>0.013453</v>
      </c>
      <c r="W138" s="50">
        <v>0</v>
      </c>
      <c r="X138" s="50">
        <v>0.005819</v>
      </c>
      <c r="Y138" s="50">
        <v>0</v>
      </c>
      <c r="Z138" s="50">
        <v>0</v>
      </c>
      <c r="AA138" s="72">
        <v>138</v>
      </c>
      <c r="AB138" s="72"/>
      <c r="AC138" s="73"/>
      <c r="AD138" s="80" t="s">
        <v>1269</v>
      </c>
      <c r="AE138" s="80"/>
      <c r="AF138" s="80"/>
      <c r="AG138" s="80"/>
      <c r="AH138" s="80"/>
      <c r="AI138" s="80"/>
      <c r="AJ138" s="87">
        <v>43377.55987268518</v>
      </c>
      <c r="AK138" s="85" t="str">
        <f>HYPERLINK("https://yt3.ggpht.com/ytc/AKedOLSjmmA-Z46gYbZ-5aKPNB3oZiamWDkG6JBHwUq8=s88-c-k-c0x00ffffff-no-rj")</f>
        <v>https://yt3.ggpht.com/ytc/AKedOLSjmmA-Z46gYbZ-5aKPNB3oZiamWDkG6JBHwUq8=s88-c-k-c0x00ffffff-no-rj</v>
      </c>
      <c r="AL138" s="80">
        <v>2583</v>
      </c>
      <c r="AM138" s="80">
        <v>0</v>
      </c>
      <c r="AN138" s="80">
        <v>72</v>
      </c>
      <c r="AO138" s="80" t="b">
        <v>0</v>
      </c>
      <c r="AP138" s="80">
        <v>14</v>
      </c>
      <c r="AQ138" s="80"/>
      <c r="AR138" s="80"/>
      <c r="AS138" s="80" t="s">
        <v>1376</v>
      </c>
      <c r="AT138" s="85" t="str">
        <f>HYPERLINK("https://www.youtube.com/channel/UClF3Q-_xtSxneYXZZIs3rtQ")</f>
        <v>https://www.youtube.com/channel/UClF3Q-_xtSxneYXZZIs3rtQ</v>
      </c>
      <c r="AU138" s="80" t="str">
        <f>REPLACE(INDEX(GroupVertices[Group],MATCH(Vertices[[#This Row],[Vertex]],GroupVertices[Vertex],0)),1,1,"")</f>
        <v>12</v>
      </c>
      <c r="AV138" s="49"/>
      <c r="AW138" s="50"/>
      <c r="AX138" s="49"/>
      <c r="AY138" s="50"/>
      <c r="AZ138" s="49"/>
      <c r="BA138" s="50"/>
      <c r="BB138" s="49"/>
      <c r="BC138" s="50"/>
      <c r="BD138" s="49"/>
      <c r="BE138" s="49"/>
      <c r="BF138" s="49"/>
      <c r="BG138" s="49"/>
      <c r="BH138" s="49"/>
      <c r="BI138" s="49"/>
      <c r="BJ138" s="49"/>
      <c r="BK138" s="111" t="s">
        <v>1239</v>
      </c>
      <c r="BL138" s="111" t="s">
        <v>1239</v>
      </c>
      <c r="BM138" s="111" t="s">
        <v>1239</v>
      </c>
      <c r="BN138" s="111" t="s">
        <v>1239</v>
      </c>
      <c r="BO138" s="2"/>
      <c r="BP138" s="3"/>
      <c r="BQ138" s="3"/>
      <c r="BR138" s="3"/>
      <c r="BS138" s="3"/>
    </row>
    <row r="139" spans="1:71" ht="15">
      <c r="A139" s="65" t="s">
        <v>456</v>
      </c>
      <c r="B139" s="66"/>
      <c r="C139" s="66"/>
      <c r="D139" s="67">
        <v>150</v>
      </c>
      <c r="E139" s="69"/>
      <c r="F139" s="103" t="str">
        <f>HYPERLINK("https://yt3.ggpht.com/b82Iy5mn_DHEuU2yTHXXe8QHERIjk763B-wl3xcF6T54TTpVYFqFLzjmGC-HrnPHUO1C8JaJ=s88-c-k-c0x00ffffff-no-rj")</f>
        <v>https://yt3.ggpht.com/b82Iy5mn_DHEuU2yTHXXe8QHERIjk763B-wl3xcF6T54TTpVYFqFLzjmGC-HrnPHUO1C8JaJ=s88-c-k-c0x00ffffff-no-rj</v>
      </c>
      <c r="G139" s="66"/>
      <c r="H139" s="70" t="s">
        <v>969</v>
      </c>
      <c r="I139" s="71"/>
      <c r="J139" s="71" t="s">
        <v>159</v>
      </c>
      <c r="K139" s="70" t="s">
        <v>969</v>
      </c>
      <c r="L139" s="74">
        <v>1</v>
      </c>
      <c r="M139" s="75">
        <v>8279.4267578125</v>
      </c>
      <c r="N139" s="75">
        <v>4267.95556640625</v>
      </c>
      <c r="O139" s="76"/>
      <c r="P139" s="77"/>
      <c r="Q139" s="77"/>
      <c r="R139" s="89"/>
      <c r="S139" s="49">
        <v>0</v>
      </c>
      <c r="T139" s="49">
        <v>1</v>
      </c>
      <c r="U139" s="50">
        <v>0</v>
      </c>
      <c r="V139" s="50">
        <v>0.008072</v>
      </c>
      <c r="W139" s="50">
        <v>0</v>
      </c>
      <c r="X139" s="50">
        <v>0.004013</v>
      </c>
      <c r="Y139" s="50">
        <v>0</v>
      </c>
      <c r="Z139" s="50">
        <v>0</v>
      </c>
      <c r="AA139" s="72">
        <v>139</v>
      </c>
      <c r="AB139" s="72"/>
      <c r="AC139" s="73"/>
      <c r="AD139" s="80" t="s">
        <v>969</v>
      </c>
      <c r="AE139" s="80" t="s">
        <v>1318</v>
      </c>
      <c r="AF139" s="80"/>
      <c r="AG139" s="80"/>
      <c r="AH139" s="80"/>
      <c r="AI139" s="80"/>
      <c r="AJ139" s="87">
        <v>43160.7896875</v>
      </c>
      <c r="AK139" s="85" t="str">
        <f>HYPERLINK("https://yt3.ggpht.com/b82Iy5mn_DHEuU2yTHXXe8QHERIjk763B-wl3xcF6T54TTpVYFqFLzjmGC-HrnPHUO1C8JaJ=s88-c-k-c0x00ffffff-no-rj")</f>
        <v>https://yt3.ggpht.com/b82Iy5mn_DHEuU2yTHXXe8QHERIjk763B-wl3xcF6T54TTpVYFqFLzjmGC-HrnPHUO1C8JaJ=s88-c-k-c0x00ffffff-no-rj</v>
      </c>
      <c r="AL139" s="80">
        <v>20756</v>
      </c>
      <c r="AM139" s="80">
        <v>0</v>
      </c>
      <c r="AN139" s="80">
        <v>0</v>
      </c>
      <c r="AO139" s="80" t="b">
        <v>1</v>
      </c>
      <c r="AP139" s="80">
        <v>52</v>
      </c>
      <c r="AQ139" s="80"/>
      <c r="AR139" s="80"/>
      <c r="AS139" s="80" t="s">
        <v>1376</v>
      </c>
      <c r="AT139" s="85" t="str">
        <f>HYPERLINK("https://www.youtube.com/channel/UCZCEX7jMFA4Utg6Rl9LjtpQ")</f>
        <v>https://www.youtube.com/channel/UCZCEX7jMFA4Utg6Rl9LjtpQ</v>
      </c>
      <c r="AU139" s="80" t="str">
        <f>REPLACE(INDEX(GroupVertices[Group],MATCH(Vertices[[#This Row],[Vertex]],GroupVertices[Vertex],0)),1,1,"")</f>
        <v>12</v>
      </c>
      <c r="AV139" s="49">
        <v>0</v>
      </c>
      <c r="AW139" s="50">
        <v>0</v>
      </c>
      <c r="AX139" s="49">
        <v>0</v>
      </c>
      <c r="AY139" s="50">
        <v>0</v>
      </c>
      <c r="AZ139" s="49">
        <v>0</v>
      </c>
      <c r="BA139" s="50">
        <v>0</v>
      </c>
      <c r="BB139" s="49">
        <v>35</v>
      </c>
      <c r="BC139" s="50">
        <v>100</v>
      </c>
      <c r="BD139" s="49">
        <v>35</v>
      </c>
      <c r="BE139" s="49"/>
      <c r="BF139" s="49"/>
      <c r="BG139" s="49"/>
      <c r="BH139" s="49"/>
      <c r="BI139" s="49"/>
      <c r="BJ139" s="49"/>
      <c r="BK139" s="111" t="s">
        <v>2463</v>
      </c>
      <c r="BL139" s="111" t="s">
        <v>2463</v>
      </c>
      <c r="BM139" s="111" t="s">
        <v>2651</v>
      </c>
      <c r="BN139" s="111" t="s">
        <v>2651</v>
      </c>
      <c r="BO139" s="2"/>
      <c r="BP139" s="3"/>
      <c r="BQ139" s="3"/>
      <c r="BR139" s="3"/>
      <c r="BS139" s="3"/>
    </row>
    <row r="140" spans="1:71" ht="15">
      <c r="A140" s="65" t="s">
        <v>457</v>
      </c>
      <c r="B140" s="66"/>
      <c r="C140" s="66"/>
      <c r="D140" s="67">
        <v>150</v>
      </c>
      <c r="E140" s="69"/>
      <c r="F140" s="103" t="str">
        <f>HYPERLINK("https://yt3.ggpht.com/ytc/AKedOLTjt73V5qSUdinHk_k-TlUiyHUhBduPAEdaLEkKmVfz7Qbuen367RmaBNXodwWX=s88-c-k-c0x00ffffff-no-rj")</f>
        <v>https://yt3.ggpht.com/ytc/AKedOLTjt73V5qSUdinHk_k-TlUiyHUhBduPAEdaLEkKmVfz7Qbuen367RmaBNXodwWX=s88-c-k-c0x00ffffff-no-rj</v>
      </c>
      <c r="G140" s="66"/>
      <c r="H140" s="70" t="s">
        <v>970</v>
      </c>
      <c r="I140" s="71"/>
      <c r="J140" s="71" t="s">
        <v>159</v>
      </c>
      <c r="K140" s="70" t="s">
        <v>970</v>
      </c>
      <c r="L140" s="74">
        <v>1</v>
      </c>
      <c r="M140" s="75">
        <v>8279.4267578125</v>
      </c>
      <c r="N140" s="75">
        <v>3569.495849609375</v>
      </c>
      <c r="O140" s="76"/>
      <c r="P140" s="77"/>
      <c r="Q140" s="77"/>
      <c r="R140" s="89"/>
      <c r="S140" s="49">
        <v>0</v>
      </c>
      <c r="T140" s="49">
        <v>1</v>
      </c>
      <c r="U140" s="50">
        <v>0</v>
      </c>
      <c r="V140" s="50">
        <v>0.008072</v>
      </c>
      <c r="W140" s="50">
        <v>0</v>
      </c>
      <c r="X140" s="50">
        <v>0.004013</v>
      </c>
      <c r="Y140" s="50">
        <v>0</v>
      </c>
      <c r="Z140" s="50">
        <v>0</v>
      </c>
      <c r="AA140" s="72">
        <v>140</v>
      </c>
      <c r="AB140" s="72"/>
      <c r="AC140" s="73"/>
      <c r="AD140" s="80" t="s">
        <v>970</v>
      </c>
      <c r="AE140" s="80"/>
      <c r="AF140" s="80"/>
      <c r="AG140" s="80"/>
      <c r="AH140" s="80"/>
      <c r="AI140" s="80"/>
      <c r="AJ140" s="87">
        <v>44658.99165509259</v>
      </c>
      <c r="AK140" s="85" t="str">
        <f>HYPERLINK("https://yt3.ggpht.com/ytc/AKedOLTjt73V5qSUdinHk_k-TlUiyHUhBduPAEdaLEkKmVfz7Qbuen367RmaBNXodwWX=s88-c-k-c0x00ffffff-no-rj")</f>
        <v>https://yt3.ggpht.com/ytc/AKedOLTjt73V5qSUdinHk_k-TlUiyHUhBduPAEdaLEkKmVfz7Qbuen367RmaBNXodwWX=s88-c-k-c0x00ffffff-no-rj</v>
      </c>
      <c r="AL140" s="80">
        <v>0</v>
      </c>
      <c r="AM140" s="80">
        <v>0</v>
      </c>
      <c r="AN140" s="80">
        <v>0</v>
      </c>
      <c r="AO140" s="80" t="b">
        <v>0</v>
      </c>
      <c r="AP140" s="80">
        <v>0</v>
      </c>
      <c r="AQ140" s="80"/>
      <c r="AR140" s="80"/>
      <c r="AS140" s="80" t="s">
        <v>1376</v>
      </c>
      <c r="AT140" s="85" t="str">
        <f>HYPERLINK("https://www.youtube.com/channel/UCXFnJs6JEY91BWkgElUiIig")</f>
        <v>https://www.youtube.com/channel/UCXFnJs6JEY91BWkgElUiIig</v>
      </c>
      <c r="AU140" s="80" t="str">
        <f>REPLACE(INDEX(GroupVertices[Group],MATCH(Vertices[[#This Row],[Vertex]],GroupVertices[Vertex],0)),1,1,"")</f>
        <v>12</v>
      </c>
      <c r="AV140" s="49">
        <v>0</v>
      </c>
      <c r="AW140" s="50">
        <v>0</v>
      </c>
      <c r="AX140" s="49">
        <v>0</v>
      </c>
      <c r="AY140" s="50">
        <v>0</v>
      </c>
      <c r="AZ140" s="49">
        <v>0</v>
      </c>
      <c r="BA140" s="50">
        <v>0</v>
      </c>
      <c r="BB140" s="49">
        <v>7</v>
      </c>
      <c r="BC140" s="50">
        <v>100</v>
      </c>
      <c r="BD140" s="49">
        <v>7</v>
      </c>
      <c r="BE140" s="49"/>
      <c r="BF140" s="49"/>
      <c r="BG140" s="49"/>
      <c r="BH140" s="49"/>
      <c r="BI140" s="49"/>
      <c r="BJ140" s="49"/>
      <c r="BK140" s="111" t="s">
        <v>714</v>
      </c>
      <c r="BL140" s="111" t="s">
        <v>714</v>
      </c>
      <c r="BM140" s="111" t="s">
        <v>2652</v>
      </c>
      <c r="BN140" s="111" t="s">
        <v>2652</v>
      </c>
      <c r="BO140" s="2"/>
      <c r="BP140" s="3"/>
      <c r="BQ140" s="3"/>
      <c r="BR140" s="3"/>
      <c r="BS140" s="3"/>
    </row>
    <row r="141" spans="1:71" ht="15">
      <c r="A141" s="65" t="s">
        <v>458</v>
      </c>
      <c r="B141" s="66"/>
      <c r="C141" s="66"/>
      <c r="D141" s="67">
        <v>150</v>
      </c>
      <c r="E141" s="69"/>
      <c r="F141" s="103" t="str">
        <f>HYPERLINK("https://yt3.ggpht.com/ytc/AKedOLSdFs9QklBnuK7_TE445FVe2zA-kIATEdqTDQ=s88-c-k-c0x00ffffff-no-rj")</f>
        <v>https://yt3.ggpht.com/ytc/AKedOLSdFs9QklBnuK7_TE445FVe2zA-kIATEdqTDQ=s88-c-k-c0x00ffffff-no-rj</v>
      </c>
      <c r="G141" s="66"/>
      <c r="H141" s="70" t="s">
        <v>971</v>
      </c>
      <c r="I141" s="71"/>
      <c r="J141" s="71" t="s">
        <v>159</v>
      </c>
      <c r="K141" s="70" t="s">
        <v>971</v>
      </c>
      <c r="L141" s="74">
        <v>1</v>
      </c>
      <c r="M141" s="75">
        <v>1800.65185546875</v>
      </c>
      <c r="N141" s="75">
        <v>9420.904296875</v>
      </c>
      <c r="O141" s="76"/>
      <c r="P141" s="77"/>
      <c r="Q141" s="77"/>
      <c r="R141" s="89"/>
      <c r="S141" s="49">
        <v>2</v>
      </c>
      <c r="T141" s="49">
        <v>2</v>
      </c>
      <c r="U141" s="50">
        <v>0</v>
      </c>
      <c r="V141" s="50">
        <v>0.189881</v>
      </c>
      <c r="W141" s="50">
        <v>0.090956</v>
      </c>
      <c r="X141" s="50">
        <v>0.004188</v>
      </c>
      <c r="Y141" s="50">
        <v>0</v>
      </c>
      <c r="Z141" s="50">
        <v>1</v>
      </c>
      <c r="AA141" s="72">
        <v>141</v>
      </c>
      <c r="AB141" s="72"/>
      <c r="AC141" s="73"/>
      <c r="AD141" s="80" t="s">
        <v>971</v>
      </c>
      <c r="AE141" s="80"/>
      <c r="AF141" s="80"/>
      <c r="AG141" s="80"/>
      <c r="AH141" s="80"/>
      <c r="AI141" s="80"/>
      <c r="AJ141" s="87">
        <v>40805.03146990741</v>
      </c>
      <c r="AK141" s="85" t="str">
        <f>HYPERLINK("https://yt3.ggpht.com/ytc/AKedOLSdFs9QklBnuK7_TE445FVe2zA-kIATEdqTDQ=s88-c-k-c0x00ffffff-no-rj")</f>
        <v>https://yt3.ggpht.com/ytc/AKedOLSdFs9QklBnuK7_TE445FVe2zA-kIATEdqTDQ=s88-c-k-c0x00ffffff-no-rj</v>
      </c>
      <c r="AL141" s="80">
        <v>0</v>
      </c>
      <c r="AM141" s="80">
        <v>0</v>
      </c>
      <c r="AN141" s="80">
        <v>0</v>
      </c>
      <c r="AO141" s="80" t="b">
        <v>0</v>
      </c>
      <c r="AP141" s="80">
        <v>0</v>
      </c>
      <c r="AQ141" s="80"/>
      <c r="AR141" s="80"/>
      <c r="AS141" s="80" t="s">
        <v>1376</v>
      </c>
      <c r="AT141" s="85" t="str">
        <f>HYPERLINK("https://www.youtube.com/channel/UCx3Xvg2G9MUra2f7eWrweGg")</f>
        <v>https://www.youtube.com/channel/UCx3Xvg2G9MUra2f7eWrweGg</v>
      </c>
      <c r="AU141" s="80" t="str">
        <f>REPLACE(INDEX(GroupVertices[Group],MATCH(Vertices[[#This Row],[Vertex]],GroupVertices[Vertex],0)),1,1,"")</f>
        <v>1</v>
      </c>
      <c r="AV141" s="49">
        <v>9</v>
      </c>
      <c r="AW141" s="50">
        <v>5.056179775280899</v>
      </c>
      <c r="AX141" s="49">
        <v>0</v>
      </c>
      <c r="AY141" s="50">
        <v>0</v>
      </c>
      <c r="AZ141" s="49">
        <v>0</v>
      </c>
      <c r="BA141" s="50">
        <v>0</v>
      </c>
      <c r="BB141" s="49">
        <v>169</v>
      </c>
      <c r="BC141" s="50">
        <v>94.9438202247191</v>
      </c>
      <c r="BD141" s="49">
        <v>178</v>
      </c>
      <c r="BE141" s="49"/>
      <c r="BF141" s="49"/>
      <c r="BG141" s="49"/>
      <c r="BH141" s="49"/>
      <c r="BI141" s="49"/>
      <c r="BJ141" s="49"/>
      <c r="BK141" s="111" t="s">
        <v>2464</v>
      </c>
      <c r="BL141" s="111" t="s">
        <v>2533</v>
      </c>
      <c r="BM141" s="111" t="s">
        <v>2653</v>
      </c>
      <c r="BN141" s="111" t="s">
        <v>2653</v>
      </c>
      <c r="BO141" s="2"/>
      <c r="BP141" s="3"/>
      <c r="BQ141" s="3"/>
      <c r="BR141" s="3"/>
      <c r="BS141" s="3"/>
    </row>
    <row r="142" spans="1:71" ht="15">
      <c r="A142" s="65" t="s">
        <v>459</v>
      </c>
      <c r="B142" s="66"/>
      <c r="C142" s="66"/>
      <c r="D142" s="67">
        <v>150</v>
      </c>
      <c r="E142" s="69"/>
      <c r="F142" s="103" t="str">
        <f>HYPERLINK("https://yt3.ggpht.com/ytc/AKedOLSokUFaR2_sPOlKnnJQ_PPpC3XFheMXoOGICw=s88-c-k-c0x00ffffff-no-rj")</f>
        <v>https://yt3.ggpht.com/ytc/AKedOLSokUFaR2_sPOlKnnJQ_PPpC3XFheMXoOGICw=s88-c-k-c0x00ffffff-no-rj</v>
      </c>
      <c r="G142" s="66"/>
      <c r="H142" s="70" t="s">
        <v>972</v>
      </c>
      <c r="I142" s="71"/>
      <c r="J142" s="71" t="s">
        <v>159</v>
      </c>
      <c r="K142" s="70" t="s">
        <v>972</v>
      </c>
      <c r="L142" s="74">
        <v>1</v>
      </c>
      <c r="M142" s="75">
        <v>1239.2545166015625</v>
      </c>
      <c r="N142" s="75">
        <v>5100.056640625</v>
      </c>
      <c r="O142" s="76"/>
      <c r="P142" s="77"/>
      <c r="Q142" s="77"/>
      <c r="R142" s="89"/>
      <c r="S142" s="49">
        <v>0</v>
      </c>
      <c r="T142" s="49">
        <v>1</v>
      </c>
      <c r="U142" s="50">
        <v>0</v>
      </c>
      <c r="V142" s="50">
        <v>0.189881</v>
      </c>
      <c r="W142" s="50">
        <v>0.080745</v>
      </c>
      <c r="X142" s="50">
        <v>0.003874</v>
      </c>
      <c r="Y142" s="50">
        <v>0</v>
      </c>
      <c r="Z142" s="50">
        <v>0</v>
      </c>
      <c r="AA142" s="72">
        <v>142</v>
      </c>
      <c r="AB142" s="72"/>
      <c r="AC142" s="73"/>
      <c r="AD142" s="80" t="s">
        <v>972</v>
      </c>
      <c r="AE142" s="80"/>
      <c r="AF142" s="80"/>
      <c r="AG142" s="80"/>
      <c r="AH142" s="80"/>
      <c r="AI142" s="80"/>
      <c r="AJ142" s="87">
        <v>38929.18672453704</v>
      </c>
      <c r="AK142" s="85" t="str">
        <f>HYPERLINK("https://yt3.ggpht.com/ytc/AKedOLSokUFaR2_sPOlKnnJQ_PPpC3XFheMXoOGICw=s88-c-k-c0x00ffffff-no-rj")</f>
        <v>https://yt3.ggpht.com/ytc/AKedOLSokUFaR2_sPOlKnnJQ_PPpC3XFheMXoOGICw=s88-c-k-c0x00ffffff-no-rj</v>
      </c>
      <c r="AL142" s="80">
        <v>98557</v>
      </c>
      <c r="AM142" s="80">
        <v>0</v>
      </c>
      <c r="AN142" s="80">
        <v>152</v>
      </c>
      <c r="AO142" s="80" t="b">
        <v>0</v>
      </c>
      <c r="AP142" s="80">
        <v>12</v>
      </c>
      <c r="AQ142" s="80"/>
      <c r="AR142" s="80"/>
      <c r="AS142" s="80" t="s">
        <v>1376</v>
      </c>
      <c r="AT142" s="85" t="str">
        <f>HYPERLINK("https://www.youtube.com/channel/UClHeEpe_QWW1jxCMatKCkzQ")</f>
        <v>https://www.youtube.com/channel/UClHeEpe_QWW1jxCMatKCkzQ</v>
      </c>
      <c r="AU142" s="80" t="str">
        <f>REPLACE(INDEX(GroupVertices[Group],MATCH(Vertices[[#This Row],[Vertex]],GroupVertices[Vertex],0)),1,1,"")</f>
        <v>1</v>
      </c>
      <c r="AV142" s="49">
        <v>1</v>
      </c>
      <c r="AW142" s="50">
        <v>5.882352941176471</v>
      </c>
      <c r="AX142" s="49">
        <v>0</v>
      </c>
      <c r="AY142" s="50">
        <v>0</v>
      </c>
      <c r="AZ142" s="49">
        <v>0</v>
      </c>
      <c r="BA142" s="50">
        <v>0</v>
      </c>
      <c r="BB142" s="49">
        <v>16</v>
      </c>
      <c r="BC142" s="50">
        <v>94.11764705882354</v>
      </c>
      <c r="BD142" s="49">
        <v>17</v>
      </c>
      <c r="BE142" s="49"/>
      <c r="BF142" s="49"/>
      <c r="BG142" s="49"/>
      <c r="BH142" s="49"/>
      <c r="BI142" s="49"/>
      <c r="BJ142" s="49"/>
      <c r="BK142" s="111" t="s">
        <v>2465</v>
      </c>
      <c r="BL142" s="111" t="s">
        <v>2465</v>
      </c>
      <c r="BM142" s="111" t="s">
        <v>2654</v>
      </c>
      <c r="BN142" s="111" t="s">
        <v>2654</v>
      </c>
      <c r="BO142" s="2"/>
      <c r="BP142" s="3"/>
      <c r="BQ142" s="3"/>
      <c r="BR142" s="3"/>
      <c r="BS142" s="3"/>
    </row>
    <row r="143" spans="1:71" ht="15">
      <c r="A143" s="65" t="s">
        <v>460</v>
      </c>
      <c r="B143" s="66"/>
      <c r="C143" s="66"/>
      <c r="D143" s="67">
        <v>150</v>
      </c>
      <c r="E143" s="69"/>
      <c r="F143" s="103" t="str">
        <f>HYPERLINK("https://yt3.ggpht.com/ytc/AKedOLQzgfW1cQhJEt-OVUVJDB7G-c8u91aNPFh4eQ=s88-c-k-c0x00ffffff-no-rj")</f>
        <v>https://yt3.ggpht.com/ytc/AKedOLQzgfW1cQhJEt-OVUVJDB7G-c8u91aNPFh4eQ=s88-c-k-c0x00ffffff-no-rj</v>
      </c>
      <c r="G143" s="66"/>
      <c r="H143" s="70" t="s">
        <v>973</v>
      </c>
      <c r="I143" s="71"/>
      <c r="J143" s="71" t="s">
        <v>159</v>
      </c>
      <c r="K143" s="70" t="s">
        <v>973</v>
      </c>
      <c r="L143" s="74">
        <v>1</v>
      </c>
      <c r="M143" s="75">
        <v>1147.4105224609375</v>
      </c>
      <c r="N143" s="75">
        <v>7860.25830078125</v>
      </c>
      <c r="O143" s="76"/>
      <c r="P143" s="77"/>
      <c r="Q143" s="77"/>
      <c r="R143" s="89"/>
      <c r="S143" s="49">
        <v>2</v>
      </c>
      <c r="T143" s="49">
        <v>2</v>
      </c>
      <c r="U143" s="50">
        <v>0</v>
      </c>
      <c r="V143" s="50">
        <v>0.189881</v>
      </c>
      <c r="W143" s="50">
        <v>0.090956</v>
      </c>
      <c r="X143" s="50">
        <v>0.004188</v>
      </c>
      <c r="Y143" s="50">
        <v>0</v>
      </c>
      <c r="Z143" s="50">
        <v>1</v>
      </c>
      <c r="AA143" s="72">
        <v>143</v>
      </c>
      <c r="AB143" s="72"/>
      <c r="AC143" s="73"/>
      <c r="AD143" s="80" t="s">
        <v>973</v>
      </c>
      <c r="AE143" s="80"/>
      <c r="AF143" s="80"/>
      <c r="AG143" s="80"/>
      <c r="AH143" s="80"/>
      <c r="AI143" s="80"/>
      <c r="AJ143" s="87">
        <v>40381.793275462966</v>
      </c>
      <c r="AK143" s="85" t="str">
        <f>HYPERLINK("https://yt3.ggpht.com/ytc/AKedOLQzgfW1cQhJEt-OVUVJDB7G-c8u91aNPFh4eQ=s88-c-k-c0x00ffffff-no-rj")</f>
        <v>https://yt3.ggpht.com/ytc/AKedOLQzgfW1cQhJEt-OVUVJDB7G-c8u91aNPFh4eQ=s88-c-k-c0x00ffffff-no-rj</v>
      </c>
      <c r="AL143" s="80">
        <v>0</v>
      </c>
      <c r="AM143" s="80">
        <v>0</v>
      </c>
      <c r="AN143" s="80">
        <v>12</v>
      </c>
      <c r="AO143" s="80" t="b">
        <v>0</v>
      </c>
      <c r="AP143" s="80">
        <v>0</v>
      </c>
      <c r="AQ143" s="80"/>
      <c r="AR143" s="80"/>
      <c r="AS143" s="80" t="s">
        <v>1376</v>
      </c>
      <c r="AT143" s="85" t="str">
        <f>HYPERLINK("https://www.youtube.com/channel/UC6xUcpewcYKMIvXWC39bu9A")</f>
        <v>https://www.youtube.com/channel/UC6xUcpewcYKMIvXWC39bu9A</v>
      </c>
      <c r="AU143" s="80" t="str">
        <f>REPLACE(INDEX(GroupVertices[Group],MATCH(Vertices[[#This Row],[Vertex]],GroupVertices[Vertex],0)),1,1,"")</f>
        <v>1</v>
      </c>
      <c r="AV143" s="49">
        <v>14</v>
      </c>
      <c r="AW143" s="50">
        <v>6.306306306306307</v>
      </c>
      <c r="AX143" s="49">
        <v>4</v>
      </c>
      <c r="AY143" s="50">
        <v>1.8018018018018018</v>
      </c>
      <c r="AZ143" s="49">
        <v>0</v>
      </c>
      <c r="BA143" s="50">
        <v>0</v>
      </c>
      <c r="BB143" s="49">
        <v>204</v>
      </c>
      <c r="BC143" s="50">
        <v>91.89189189189189</v>
      </c>
      <c r="BD143" s="49">
        <v>222</v>
      </c>
      <c r="BE143" s="49"/>
      <c r="BF143" s="49"/>
      <c r="BG143" s="49"/>
      <c r="BH143" s="49"/>
      <c r="BI143" s="49"/>
      <c r="BJ143" s="49"/>
      <c r="BK143" s="111" t="s">
        <v>2466</v>
      </c>
      <c r="BL143" s="111" t="s">
        <v>2534</v>
      </c>
      <c r="BM143" s="111" t="s">
        <v>2655</v>
      </c>
      <c r="BN143" s="111" t="s">
        <v>2655</v>
      </c>
      <c r="BO143" s="2"/>
      <c r="BP143" s="3"/>
      <c r="BQ143" s="3"/>
      <c r="BR143" s="3"/>
      <c r="BS143" s="3"/>
    </row>
    <row r="144" spans="1:71" ht="15">
      <c r="A144" s="65" t="s">
        <v>461</v>
      </c>
      <c r="B144" s="66"/>
      <c r="C144" s="66"/>
      <c r="D144" s="67">
        <v>150</v>
      </c>
      <c r="E144" s="69"/>
      <c r="F144" s="103" t="str">
        <f>HYPERLINK("https://yt3.ggpht.com/ytc/AKedOLQoA5Vw9_XFxRfkMKuCEcHMLuwtwZbG9zFZ0lfC=s88-c-k-c0x00ffffff-no-rj")</f>
        <v>https://yt3.ggpht.com/ytc/AKedOLQoA5Vw9_XFxRfkMKuCEcHMLuwtwZbG9zFZ0lfC=s88-c-k-c0x00ffffff-no-rj</v>
      </c>
      <c r="G144" s="66"/>
      <c r="H144" s="70" t="s">
        <v>974</v>
      </c>
      <c r="I144" s="71"/>
      <c r="J144" s="71" t="s">
        <v>159</v>
      </c>
      <c r="K144" s="70" t="s">
        <v>974</v>
      </c>
      <c r="L144" s="74">
        <v>1</v>
      </c>
      <c r="M144" s="75">
        <v>2510.97314453125</v>
      </c>
      <c r="N144" s="75">
        <v>3368.39599609375</v>
      </c>
      <c r="O144" s="76"/>
      <c r="P144" s="77"/>
      <c r="Q144" s="77"/>
      <c r="R144" s="89"/>
      <c r="S144" s="49">
        <v>0</v>
      </c>
      <c r="T144" s="49">
        <v>1</v>
      </c>
      <c r="U144" s="50">
        <v>0</v>
      </c>
      <c r="V144" s="50">
        <v>0.189881</v>
      </c>
      <c r="W144" s="50">
        <v>0.080745</v>
      </c>
      <c r="X144" s="50">
        <v>0.003874</v>
      </c>
      <c r="Y144" s="50">
        <v>0</v>
      </c>
      <c r="Z144" s="50">
        <v>0</v>
      </c>
      <c r="AA144" s="72">
        <v>144</v>
      </c>
      <c r="AB144" s="72"/>
      <c r="AC144" s="73"/>
      <c r="AD144" s="80" t="s">
        <v>974</v>
      </c>
      <c r="AE144" s="80"/>
      <c r="AF144" s="80"/>
      <c r="AG144" s="80"/>
      <c r="AH144" s="80"/>
      <c r="AI144" s="80"/>
      <c r="AJ144" s="87">
        <v>40829.14252314815</v>
      </c>
      <c r="AK144" s="85" t="str">
        <f>HYPERLINK("https://yt3.ggpht.com/ytc/AKedOLQoA5Vw9_XFxRfkMKuCEcHMLuwtwZbG9zFZ0lfC=s88-c-k-c0x00ffffff-no-rj")</f>
        <v>https://yt3.ggpht.com/ytc/AKedOLQoA5Vw9_XFxRfkMKuCEcHMLuwtwZbG9zFZ0lfC=s88-c-k-c0x00ffffff-no-rj</v>
      </c>
      <c r="AL144" s="80">
        <v>0</v>
      </c>
      <c r="AM144" s="80">
        <v>0</v>
      </c>
      <c r="AN144" s="80">
        <v>0</v>
      </c>
      <c r="AO144" s="80" t="b">
        <v>0</v>
      </c>
      <c r="AP144" s="80">
        <v>0</v>
      </c>
      <c r="AQ144" s="80"/>
      <c r="AR144" s="80"/>
      <c r="AS144" s="80" t="s">
        <v>1376</v>
      </c>
      <c r="AT144" s="85" t="str">
        <f>HYPERLINK("https://www.youtube.com/channel/UC9jGt1X3J14c5GAeAO8EDvQ")</f>
        <v>https://www.youtube.com/channel/UC9jGt1X3J14c5GAeAO8EDvQ</v>
      </c>
      <c r="AU144" s="80" t="str">
        <f>REPLACE(INDEX(GroupVertices[Group],MATCH(Vertices[[#This Row],[Vertex]],GroupVertices[Vertex],0)),1,1,"")</f>
        <v>1</v>
      </c>
      <c r="AV144" s="49">
        <v>2</v>
      </c>
      <c r="AW144" s="50">
        <v>5.714285714285714</v>
      </c>
      <c r="AX144" s="49">
        <v>1</v>
      </c>
      <c r="AY144" s="50">
        <v>2.857142857142857</v>
      </c>
      <c r="AZ144" s="49">
        <v>0</v>
      </c>
      <c r="BA144" s="50">
        <v>0</v>
      </c>
      <c r="BB144" s="49">
        <v>32</v>
      </c>
      <c r="BC144" s="50">
        <v>91.42857142857143</v>
      </c>
      <c r="BD144" s="49">
        <v>35</v>
      </c>
      <c r="BE144" s="49"/>
      <c r="BF144" s="49"/>
      <c r="BG144" s="49"/>
      <c r="BH144" s="49"/>
      <c r="BI144" s="49"/>
      <c r="BJ144" s="49"/>
      <c r="BK144" s="111" t="s">
        <v>2467</v>
      </c>
      <c r="BL144" s="111" t="s">
        <v>2467</v>
      </c>
      <c r="BM144" s="111" t="s">
        <v>2656</v>
      </c>
      <c r="BN144" s="111" t="s">
        <v>2656</v>
      </c>
      <c r="BO144" s="2"/>
      <c r="BP144" s="3"/>
      <c r="BQ144" s="3"/>
      <c r="BR144" s="3"/>
      <c r="BS144" s="3"/>
    </row>
    <row r="145" spans="1:71" ht="15">
      <c r="A145" s="65" t="s">
        <v>462</v>
      </c>
      <c r="B145" s="66"/>
      <c r="C145" s="66"/>
      <c r="D145" s="67">
        <v>150</v>
      </c>
      <c r="E145" s="69"/>
      <c r="F145" s="103" t="str">
        <f>HYPERLINK("https://yt3.ggpht.com/ytc/AKedOLQlCIG7nnAujUaf05xYCfiRAo7ofgMBUmxlgmP5jQ=s88-c-k-c0x00ffffff-no-rj")</f>
        <v>https://yt3.ggpht.com/ytc/AKedOLQlCIG7nnAujUaf05xYCfiRAo7ofgMBUmxlgmP5jQ=s88-c-k-c0x00ffffff-no-rj</v>
      </c>
      <c r="G145" s="66"/>
      <c r="H145" s="70" t="s">
        <v>975</v>
      </c>
      <c r="I145" s="71"/>
      <c r="J145" s="71" t="s">
        <v>159</v>
      </c>
      <c r="K145" s="70" t="s">
        <v>975</v>
      </c>
      <c r="L145" s="74">
        <v>1</v>
      </c>
      <c r="M145" s="75">
        <v>778.03271484375</v>
      </c>
      <c r="N145" s="75">
        <v>4559.666015625</v>
      </c>
      <c r="O145" s="76"/>
      <c r="P145" s="77"/>
      <c r="Q145" s="77"/>
      <c r="R145" s="89"/>
      <c r="S145" s="49">
        <v>0</v>
      </c>
      <c r="T145" s="49">
        <v>1</v>
      </c>
      <c r="U145" s="50">
        <v>0</v>
      </c>
      <c r="V145" s="50">
        <v>0.189881</v>
      </c>
      <c r="W145" s="50">
        <v>0.080745</v>
      </c>
      <c r="X145" s="50">
        <v>0.003874</v>
      </c>
      <c r="Y145" s="50">
        <v>0</v>
      </c>
      <c r="Z145" s="50">
        <v>0</v>
      </c>
      <c r="AA145" s="72">
        <v>145</v>
      </c>
      <c r="AB145" s="72"/>
      <c r="AC145" s="73"/>
      <c r="AD145" s="80" t="s">
        <v>975</v>
      </c>
      <c r="AE145" s="80"/>
      <c r="AF145" s="80"/>
      <c r="AG145" s="80"/>
      <c r="AH145" s="80"/>
      <c r="AI145" s="80"/>
      <c r="AJ145" s="87">
        <v>40782.14302083333</v>
      </c>
      <c r="AK145" s="85" t="str">
        <f>HYPERLINK("https://yt3.ggpht.com/ytc/AKedOLQlCIG7nnAujUaf05xYCfiRAo7ofgMBUmxlgmP5jQ=s88-c-k-c0x00ffffff-no-rj")</f>
        <v>https://yt3.ggpht.com/ytc/AKedOLQlCIG7nnAujUaf05xYCfiRAo7ofgMBUmxlgmP5jQ=s88-c-k-c0x00ffffff-no-rj</v>
      </c>
      <c r="AL145" s="80">
        <v>23971</v>
      </c>
      <c r="AM145" s="80">
        <v>0</v>
      </c>
      <c r="AN145" s="80">
        <v>38</v>
      </c>
      <c r="AO145" s="80" t="b">
        <v>0</v>
      </c>
      <c r="AP145" s="80">
        <v>6</v>
      </c>
      <c r="AQ145" s="80"/>
      <c r="AR145" s="80"/>
      <c r="AS145" s="80" t="s">
        <v>1376</v>
      </c>
      <c r="AT145" s="85" t="str">
        <f>HYPERLINK("https://www.youtube.com/channel/UCA4upGBl9EGqYOrMkBRxIUg")</f>
        <v>https://www.youtube.com/channel/UCA4upGBl9EGqYOrMkBRxIUg</v>
      </c>
      <c r="AU145" s="80" t="str">
        <f>REPLACE(INDEX(GroupVertices[Group],MATCH(Vertices[[#This Row],[Vertex]],GroupVertices[Vertex],0)),1,1,"")</f>
        <v>1</v>
      </c>
      <c r="AV145" s="49">
        <v>2</v>
      </c>
      <c r="AW145" s="50">
        <v>7.142857142857143</v>
      </c>
      <c r="AX145" s="49">
        <v>0</v>
      </c>
      <c r="AY145" s="50">
        <v>0</v>
      </c>
      <c r="AZ145" s="49">
        <v>0</v>
      </c>
      <c r="BA145" s="50">
        <v>0</v>
      </c>
      <c r="BB145" s="49">
        <v>26</v>
      </c>
      <c r="BC145" s="50">
        <v>92.85714285714286</v>
      </c>
      <c r="BD145" s="49">
        <v>28</v>
      </c>
      <c r="BE145" s="49"/>
      <c r="BF145" s="49"/>
      <c r="BG145" s="49"/>
      <c r="BH145" s="49"/>
      <c r="BI145" s="49"/>
      <c r="BJ145" s="49"/>
      <c r="BK145" s="111" t="s">
        <v>2468</v>
      </c>
      <c r="BL145" s="111" t="s">
        <v>2468</v>
      </c>
      <c r="BM145" s="111" t="s">
        <v>2657</v>
      </c>
      <c r="BN145" s="111" t="s">
        <v>2657</v>
      </c>
      <c r="BO145" s="2"/>
      <c r="BP145" s="3"/>
      <c r="BQ145" s="3"/>
      <c r="BR145" s="3"/>
      <c r="BS145" s="3"/>
    </row>
    <row r="146" spans="1:71" ht="15">
      <c r="A146" s="65" t="s">
        <v>463</v>
      </c>
      <c r="B146" s="66"/>
      <c r="C146" s="66"/>
      <c r="D146" s="67">
        <v>150</v>
      </c>
      <c r="E146" s="69"/>
      <c r="F146" s="103" t="str">
        <f>HYPERLINK("https://yt3.ggpht.com/ytc/AKedOLRYQHS-hjWBfBOyT6lv6ufskpk25-7-p_JnMnUkpA=s88-c-k-c0x00ffffff-no-rj")</f>
        <v>https://yt3.ggpht.com/ytc/AKedOLRYQHS-hjWBfBOyT6lv6ufskpk25-7-p_JnMnUkpA=s88-c-k-c0x00ffffff-no-rj</v>
      </c>
      <c r="G146" s="66"/>
      <c r="H146" s="70" t="s">
        <v>976</v>
      </c>
      <c r="I146" s="71"/>
      <c r="J146" s="71" t="s">
        <v>159</v>
      </c>
      <c r="K146" s="70" t="s">
        <v>976</v>
      </c>
      <c r="L146" s="74">
        <v>1</v>
      </c>
      <c r="M146" s="75">
        <v>912.5030517578125</v>
      </c>
      <c r="N146" s="75">
        <v>3957.892578125</v>
      </c>
      <c r="O146" s="76"/>
      <c r="P146" s="77"/>
      <c r="Q146" s="77"/>
      <c r="R146" s="89"/>
      <c r="S146" s="49">
        <v>0</v>
      </c>
      <c r="T146" s="49">
        <v>1</v>
      </c>
      <c r="U146" s="50">
        <v>0</v>
      </c>
      <c r="V146" s="50">
        <v>0.189881</v>
      </c>
      <c r="W146" s="50">
        <v>0.080745</v>
      </c>
      <c r="X146" s="50">
        <v>0.003874</v>
      </c>
      <c r="Y146" s="50">
        <v>0</v>
      </c>
      <c r="Z146" s="50">
        <v>0</v>
      </c>
      <c r="AA146" s="72">
        <v>146</v>
      </c>
      <c r="AB146" s="72"/>
      <c r="AC146" s="73"/>
      <c r="AD146" s="80" t="s">
        <v>976</v>
      </c>
      <c r="AE146" s="80"/>
      <c r="AF146" s="80"/>
      <c r="AG146" s="80"/>
      <c r="AH146" s="80"/>
      <c r="AI146" s="80"/>
      <c r="AJ146" s="87">
        <v>41645.97607638889</v>
      </c>
      <c r="AK146" s="85" t="str">
        <f>HYPERLINK("https://yt3.ggpht.com/ytc/AKedOLRYQHS-hjWBfBOyT6lv6ufskpk25-7-p_JnMnUkpA=s88-c-k-c0x00ffffff-no-rj")</f>
        <v>https://yt3.ggpht.com/ytc/AKedOLRYQHS-hjWBfBOyT6lv6ufskpk25-7-p_JnMnUkpA=s88-c-k-c0x00ffffff-no-rj</v>
      </c>
      <c r="AL146" s="80">
        <v>0</v>
      </c>
      <c r="AM146" s="80">
        <v>0</v>
      </c>
      <c r="AN146" s="80">
        <v>0</v>
      </c>
      <c r="AO146" s="80" t="b">
        <v>0</v>
      </c>
      <c r="AP146" s="80">
        <v>0</v>
      </c>
      <c r="AQ146" s="80"/>
      <c r="AR146" s="80"/>
      <c r="AS146" s="80" t="s">
        <v>1376</v>
      </c>
      <c r="AT146" s="85" t="str">
        <f>HYPERLINK("https://www.youtube.com/channel/UCRaAPyppJGU5Yds5lDDlb1Q")</f>
        <v>https://www.youtube.com/channel/UCRaAPyppJGU5Yds5lDDlb1Q</v>
      </c>
      <c r="AU146" s="80" t="str">
        <f>REPLACE(INDEX(GroupVertices[Group],MATCH(Vertices[[#This Row],[Vertex]],GroupVertices[Vertex],0)),1,1,"")</f>
        <v>1</v>
      </c>
      <c r="AV146" s="49">
        <v>2</v>
      </c>
      <c r="AW146" s="50">
        <v>15.384615384615385</v>
      </c>
      <c r="AX146" s="49">
        <v>0</v>
      </c>
      <c r="AY146" s="50">
        <v>0</v>
      </c>
      <c r="AZ146" s="49">
        <v>0</v>
      </c>
      <c r="BA146" s="50">
        <v>0</v>
      </c>
      <c r="BB146" s="49">
        <v>11</v>
      </c>
      <c r="BC146" s="50">
        <v>84.61538461538461</v>
      </c>
      <c r="BD146" s="49">
        <v>13</v>
      </c>
      <c r="BE146" s="49"/>
      <c r="BF146" s="49"/>
      <c r="BG146" s="49"/>
      <c r="BH146" s="49"/>
      <c r="BI146" s="49"/>
      <c r="BJ146" s="49"/>
      <c r="BK146" s="111" t="s">
        <v>2469</v>
      </c>
      <c r="BL146" s="111" t="s">
        <v>2469</v>
      </c>
      <c r="BM146" s="111" t="s">
        <v>2658</v>
      </c>
      <c r="BN146" s="111" t="s">
        <v>2658</v>
      </c>
      <c r="BO146" s="2"/>
      <c r="BP146" s="3"/>
      <c r="BQ146" s="3"/>
      <c r="BR146" s="3"/>
      <c r="BS146" s="3"/>
    </row>
    <row r="147" spans="1:71" ht="15">
      <c r="A147" s="65" t="s">
        <v>464</v>
      </c>
      <c r="B147" s="66"/>
      <c r="C147" s="66"/>
      <c r="D147" s="67">
        <v>150</v>
      </c>
      <c r="E147" s="69"/>
      <c r="F147" s="103" t="str">
        <f>HYPERLINK("https://yt3.ggpht.com/bnhGqoK2pwikV7udLNWxVsJ97SFok_phTKDliGpX_q15T4c1QASWuIJ-xFde4rDZa6GG8doC_DA=s88-c-k-c0x00ffffff-no-rj")</f>
        <v>https://yt3.ggpht.com/bnhGqoK2pwikV7udLNWxVsJ97SFok_phTKDliGpX_q15T4c1QASWuIJ-xFde4rDZa6GG8doC_DA=s88-c-k-c0x00ffffff-no-rj</v>
      </c>
      <c r="G147" s="66"/>
      <c r="H147" s="70" t="s">
        <v>977</v>
      </c>
      <c r="I147" s="71"/>
      <c r="J147" s="71" t="s">
        <v>159</v>
      </c>
      <c r="K147" s="70" t="s">
        <v>977</v>
      </c>
      <c r="L147" s="74">
        <v>1</v>
      </c>
      <c r="M147" s="75">
        <v>692.5631713867188</v>
      </c>
      <c r="N147" s="75">
        <v>5308.22705078125</v>
      </c>
      <c r="O147" s="76"/>
      <c r="P147" s="77"/>
      <c r="Q147" s="77"/>
      <c r="R147" s="89"/>
      <c r="S147" s="49">
        <v>0</v>
      </c>
      <c r="T147" s="49">
        <v>1</v>
      </c>
      <c r="U147" s="50">
        <v>0</v>
      </c>
      <c r="V147" s="50">
        <v>0.189881</v>
      </c>
      <c r="W147" s="50">
        <v>0.080745</v>
      </c>
      <c r="X147" s="50">
        <v>0.003874</v>
      </c>
      <c r="Y147" s="50">
        <v>0</v>
      </c>
      <c r="Z147" s="50">
        <v>0</v>
      </c>
      <c r="AA147" s="72">
        <v>147</v>
      </c>
      <c r="AB147" s="72"/>
      <c r="AC147" s="73"/>
      <c r="AD147" s="80" t="s">
        <v>977</v>
      </c>
      <c r="AE147" s="80" t="s">
        <v>1319</v>
      </c>
      <c r="AF147" s="80"/>
      <c r="AG147" s="80"/>
      <c r="AH147" s="80"/>
      <c r="AI147" s="80"/>
      <c r="AJ147" s="87">
        <v>42588.878229166665</v>
      </c>
      <c r="AK147" s="85" t="str">
        <f>HYPERLINK("https://yt3.ggpht.com/bnhGqoK2pwikV7udLNWxVsJ97SFok_phTKDliGpX_q15T4c1QASWuIJ-xFde4rDZa6GG8doC_DA=s88-c-k-c0x00ffffff-no-rj")</f>
        <v>https://yt3.ggpht.com/bnhGqoK2pwikV7udLNWxVsJ97SFok_phTKDliGpX_q15T4c1QASWuIJ-xFde4rDZa6GG8doC_DA=s88-c-k-c0x00ffffff-no-rj</v>
      </c>
      <c r="AL147" s="80">
        <v>3541</v>
      </c>
      <c r="AM147" s="80">
        <v>0</v>
      </c>
      <c r="AN147" s="80">
        <v>16</v>
      </c>
      <c r="AO147" s="80" t="b">
        <v>0</v>
      </c>
      <c r="AP147" s="80">
        <v>26</v>
      </c>
      <c r="AQ147" s="80"/>
      <c r="AR147" s="80"/>
      <c r="AS147" s="80" t="s">
        <v>1376</v>
      </c>
      <c r="AT147" s="85" t="str">
        <f>HYPERLINK("https://www.youtube.com/channel/UCV6YNtkIq41tS1aUynMnoTw")</f>
        <v>https://www.youtube.com/channel/UCV6YNtkIq41tS1aUynMnoTw</v>
      </c>
      <c r="AU147" s="80" t="str">
        <f>REPLACE(INDEX(GroupVertices[Group],MATCH(Vertices[[#This Row],[Vertex]],GroupVertices[Vertex],0)),1,1,"")</f>
        <v>1</v>
      </c>
      <c r="AV147" s="49">
        <v>0</v>
      </c>
      <c r="AW147" s="50">
        <v>0</v>
      </c>
      <c r="AX147" s="49">
        <v>0</v>
      </c>
      <c r="AY147" s="50">
        <v>0</v>
      </c>
      <c r="AZ147" s="49">
        <v>0</v>
      </c>
      <c r="BA147" s="50">
        <v>0</v>
      </c>
      <c r="BB147" s="49">
        <v>3</v>
      </c>
      <c r="BC147" s="50">
        <v>100</v>
      </c>
      <c r="BD147" s="49">
        <v>3</v>
      </c>
      <c r="BE147" s="49"/>
      <c r="BF147" s="49"/>
      <c r="BG147" s="49"/>
      <c r="BH147" s="49"/>
      <c r="BI147" s="49"/>
      <c r="BJ147" s="49"/>
      <c r="BK147" s="111" t="s">
        <v>2470</v>
      </c>
      <c r="BL147" s="111" t="s">
        <v>2470</v>
      </c>
      <c r="BM147" s="111" t="s">
        <v>1239</v>
      </c>
      <c r="BN147" s="111" t="s">
        <v>1239</v>
      </c>
      <c r="BO147" s="2"/>
      <c r="BP147" s="3"/>
      <c r="BQ147" s="3"/>
      <c r="BR147" s="3"/>
      <c r="BS147" s="3"/>
    </row>
    <row r="148" spans="1:71" ht="15">
      <c r="A148" s="65" t="s">
        <v>465</v>
      </c>
      <c r="B148" s="66"/>
      <c r="C148" s="66"/>
      <c r="D148" s="67">
        <v>150</v>
      </c>
      <c r="E148" s="69"/>
      <c r="F148" s="103" t="str">
        <f>HYPERLINK("https://yt3.ggpht.com/ytc/AKedOLSJ8KU_a3u5OInJ8Zp7ne3-sd16hubdoGGqUw=s88-c-k-c0x00ffffff-no-rj")</f>
        <v>https://yt3.ggpht.com/ytc/AKedOLSJ8KU_a3u5OInJ8Zp7ne3-sd16hubdoGGqUw=s88-c-k-c0x00ffffff-no-rj</v>
      </c>
      <c r="G148" s="66"/>
      <c r="H148" s="70" t="s">
        <v>978</v>
      </c>
      <c r="I148" s="71"/>
      <c r="J148" s="71" t="s">
        <v>159</v>
      </c>
      <c r="K148" s="70" t="s">
        <v>978</v>
      </c>
      <c r="L148" s="74">
        <v>1</v>
      </c>
      <c r="M148" s="75">
        <v>2655.158447265625</v>
      </c>
      <c r="N148" s="75">
        <v>5180.42724609375</v>
      </c>
      <c r="O148" s="76"/>
      <c r="P148" s="77"/>
      <c r="Q148" s="77"/>
      <c r="R148" s="89"/>
      <c r="S148" s="49">
        <v>0</v>
      </c>
      <c r="T148" s="49">
        <v>1</v>
      </c>
      <c r="U148" s="50">
        <v>0</v>
      </c>
      <c r="V148" s="50">
        <v>0.189881</v>
      </c>
      <c r="W148" s="50">
        <v>0.080745</v>
      </c>
      <c r="X148" s="50">
        <v>0.003874</v>
      </c>
      <c r="Y148" s="50">
        <v>0</v>
      </c>
      <c r="Z148" s="50">
        <v>0</v>
      </c>
      <c r="AA148" s="72">
        <v>148</v>
      </c>
      <c r="AB148" s="72"/>
      <c r="AC148" s="73"/>
      <c r="AD148" s="80" t="s">
        <v>978</v>
      </c>
      <c r="AE148" s="80"/>
      <c r="AF148" s="80"/>
      <c r="AG148" s="80"/>
      <c r="AH148" s="80"/>
      <c r="AI148" s="80"/>
      <c r="AJ148" s="87">
        <v>41980.14880787037</v>
      </c>
      <c r="AK148" s="85" t="str">
        <f>HYPERLINK("https://yt3.ggpht.com/ytc/AKedOLSJ8KU_a3u5OInJ8Zp7ne3-sd16hubdoGGqUw=s88-c-k-c0x00ffffff-no-rj")</f>
        <v>https://yt3.ggpht.com/ytc/AKedOLSJ8KU_a3u5OInJ8Zp7ne3-sd16hubdoGGqUw=s88-c-k-c0x00ffffff-no-rj</v>
      </c>
      <c r="AL148" s="80">
        <v>0</v>
      </c>
      <c r="AM148" s="80">
        <v>0</v>
      </c>
      <c r="AN148" s="80">
        <v>1</v>
      </c>
      <c r="AO148" s="80" t="b">
        <v>0</v>
      </c>
      <c r="AP148" s="80">
        <v>0</v>
      </c>
      <c r="AQ148" s="80"/>
      <c r="AR148" s="80"/>
      <c r="AS148" s="80" t="s">
        <v>1376</v>
      </c>
      <c r="AT148" s="85" t="str">
        <f>HYPERLINK("https://www.youtube.com/channel/UCV5NmnIggBXfHNRqsqYBPHg")</f>
        <v>https://www.youtube.com/channel/UCV5NmnIggBXfHNRqsqYBPHg</v>
      </c>
      <c r="AU148" s="80" t="str">
        <f>REPLACE(INDEX(GroupVertices[Group],MATCH(Vertices[[#This Row],[Vertex]],GroupVertices[Vertex],0)),1,1,"")</f>
        <v>1</v>
      </c>
      <c r="AV148" s="49">
        <v>3</v>
      </c>
      <c r="AW148" s="50">
        <v>16.666666666666668</v>
      </c>
      <c r="AX148" s="49">
        <v>0</v>
      </c>
      <c r="AY148" s="50">
        <v>0</v>
      </c>
      <c r="AZ148" s="49">
        <v>0</v>
      </c>
      <c r="BA148" s="50">
        <v>0</v>
      </c>
      <c r="BB148" s="49">
        <v>15</v>
      </c>
      <c r="BC148" s="50">
        <v>83.33333333333333</v>
      </c>
      <c r="BD148" s="49">
        <v>18</v>
      </c>
      <c r="BE148" s="49"/>
      <c r="BF148" s="49"/>
      <c r="BG148" s="49"/>
      <c r="BH148" s="49"/>
      <c r="BI148" s="49"/>
      <c r="BJ148" s="49"/>
      <c r="BK148" s="111" t="s">
        <v>2471</v>
      </c>
      <c r="BL148" s="111" t="s">
        <v>2471</v>
      </c>
      <c r="BM148" s="111" t="s">
        <v>2659</v>
      </c>
      <c r="BN148" s="111" t="s">
        <v>2659</v>
      </c>
      <c r="BO148" s="2"/>
      <c r="BP148" s="3"/>
      <c r="BQ148" s="3"/>
      <c r="BR148" s="3"/>
      <c r="BS148" s="3"/>
    </row>
    <row r="149" spans="1:71" ht="15">
      <c r="A149" s="65" t="s">
        <v>466</v>
      </c>
      <c r="B149" s="66"/>
      <c r="C149" s="66"/>
      <c r="D149" s="67">
        <v>150</v>
      </c>
      <c r="E149" s="69"/>
      <c r="F149" s="103" t="str">
        <f>HYPERLINK("https://yt3.ggpht.com/ytc/AKedOLTo9FlDqgUYkUHMhZH9Up48AaM_uV-XdpC7-6wG=s88-c-k-c0x00ffffff-no-rj")</f>
        <v>https://yt3.ggpht.com/ytc/AKedOLTo9FlDqgUYkUHMhZH9Up48AaM_uV-XdpC7-6wG=s88-c-k-c0x00ffffff-no-rj</v>
      </c>
      <c r="G149" s="66"/>
      <c r="H149" s="70" t="s">
        <v>979</v>
      </c>
      <c r="I149" s="71"/>
      <c r="J149" s="71" t="s">
        <v>159</v>
      </c>
      <c r="K149" s="70" t="s">
        <v>979</v>
      </c>
      <c r="L149" s="74">
        <v>1</v>
      </c>
      <c r="M149" s="75">
        <v>5859.28662109375</v>
      </c>
      <c r="N149" s="75">
        <v>9592.3759765625</v>
      </c>
      <c r="O149" s="76"/>
      <c r="P149" s="77"/>
      <c r="Q149" s="77"/>
      <c r="R149" s="89"/>
      <c r="S149" s="49">
        <v>0</v>
      </c>
      <c r="T149" s="49">
        <v>1</v>
      </c>
      <c r="U149" s="50">
        <v>0</v>
      </c>
      <c r="V149" s="50">
        <v>0.088416</v>
      </c>
      <c r="W149" s="50">
        <v>1.7E-05</v>
      </c>
      <c r="X149" s="50">
        <v>0.004031</v>
      </c>
      <c r="Y149" s="50">
        <v>0</v>
      </c>
      <c r="Z149" s="50">
        <v>0</v>
      </c>
      <c r="AA149" s="72">
        <v>149</v>
      </c>
      <c r="AB149" s="72"/>
      <c r="AC149" s="73"/>
      <c r="AD149" s="80" t="s">
        <v>979</v>
      </c>
      <c r="AE149" s="80"/>
      <c r="AF149" s="80"/>
      <c r="AG149" s="80"/>
      <c r="AH149" s="80"/>
      <c r="AI149" s="80"/>
      <c r="AJ149" s="87">
        <v>40458.63049768518</v>
      </c>
      <c r="AK149" s="85" t="str">
        <f>HYPERLINK("https://yt3.ggpht.com/ytc/AKedOLTo9FlDqgUYkUHMhZH9Up48AaM_uV-XdpC7-6wG=s88-c-k-c0x00ffffff-no-rj")</f>
        <v>https://yt3.ggpht.com/ytc/AKedOLTo9FlDqgUYkUHMhZH9Up48AaM_uV-XdpC7-6wG=s88-c-k-c0x00ffffff-no-rj</v>
      </c>
      <c r="AL149" s="80">
        <v>0</v>
      </c>
      <c r="AM149" s="80">
        <v>0</v>
      </c>
      <c r="AN149" s="80">
        <v>29</v>
      </c>
      <c r="AO149" s="80" t="b">
        <v>0</v>
      </c>
      <c r="AP149" s="80">
        <v>0</v>
      </c>
      <c r="AQ149" s="80"/>
      <c r="AR149" s="80"/>
      <c r="AS149" s="80" t="s">
        <v>1376</v>
      </c>
      <c r="AT149" s="85" t="str">
        <f>HYPERLINK("https://www.youtube.com/channel/UChkL5Lh3Dn5xtgmO7QrjuDw")</f>
        <v>https://www.youtube.com/channel/UChkL5Lh3Dn5xtgmO7QrjuDw</v>
      </c>
      <c r="AU149" s="80" t="str">
        <f>REPLACE(INDEX(GroupVertices[Group],MATCH(Vertices[[#This Row],[Vertex]],GroupVertices[Vertex],0)),1,1,"")</f>
        <v>4</v>
      </c>
      <c r="AV149" s="49">
        <v>4</v>
      </c>
      <c r="AW149" s="50">
        <v>8.695652173913043</v>
      </c>
      <c r="AX149" s="49">
        <v>0</v>
      </c>
      <c r="AY149" s="50">
        <v>0</v>
      </c>
      <c r="AZ149" s="49">
        <v>0</v>
      </c>
      <c r="BA149" s="50">
        <v>0</v>
      </c>
      <c r="BB149" s="49">
        <v>42</v>
      </c>
      <c r="BC149" s="50">
        <v>91.30434782608695</v>
      </c>
      <c r="BD149" s="49">
        <v>46</v>
      </c>
      <c r="BE149" s="49"/>
      <c r="BF149" s="49"/>
      <c r="BG149" s="49"/>
      <c r="BH149" s="49"/>
      <c r="BI149" s="49"/>
      <c r="BJ149" s="49"/>
      <c r="BK149" s="111" t="s">
        <v>2472</v>
      </c>
      <c r="BL149" s="111" t="s">
        <v>2472</v>
      </c>
      <c r="BM149" s="111" t="s">
        <v>2660</v>
      </c>
      <c r="BN149" s="111" t="s">
        <v>2660</v>
      </c>
      <c r="BO149" s="2"/>
      <c r="BP149" s="3"/>
      <c r="BQ149" s="3"/>
      <c r="BR149" s="3"/>
      <c r="BS149" s="3"/>
    </row>
    <row r="150" spans="1:71" ht="15">
      <c r="A150" s="65" t="s">
        <v>467</v>
      </c>
      <c r="B150" s="66"/>
      <c r="C150" s="66"/>
      <c r="D150" s="67">
        <v>364.9425287356322</v>
      </c>
      <c r="E150" s="69"/>
      <c r="F150" s="103" t="str">
        <f>HYPERLINK("https://yt3.ggpht.com/ytc/AKedOLQgGWcSQYefRORbxYLXdN7sjSqx9fb-splxGDgBMlGrBljPhczOm4DNaA5ade2k=s88-c-k-c0x00ffffff-no-rj")</f>
        <v>https://yt3.ggpht.com/ytc/AKedOLQgGWcSQYefRORbxYLXdN7sjSqx9fb-splxGDgBMlGrBljPhczOm4DNaA5ade2k=s88-c-k-c0x00ffffff-no-rj</v>
      </c>
      <c r="G150" s="66"/>
      <c r="H150" s="70" t="s">
        <v>980</v>
      </c>
      <c r="I150" s="71"/>
      <c r="J150" s="71" t="s">
        <v>75</v>
      </c>
      <c r="K150" s="70" t="s">
        <v>980</v>
      </c>
      <c r="L150" s="74">
        <v>191.38086192966568</v>
      </c>
      <c r="M150" s="75">
        <v>5445.1689453125</v>
      </c>
      <c r="N150" s="75">
        <v>9104.671875</v>
      </c>
      <c r="O150" s="76"/>
      <c r="P150" s="77"/>
      <c r="Q150" s="77"/>
      <c r="R150" s="89"/>
      <c r="S150" s="49">
        <v>3</v>
      </c>
      <c r="T150" s="49">
        <v>2</v>
      </c>
      <c r="U150" s="50">
        <v>264</v>
      </c>
      <c r="V150" s="50">
        <v>0.104223</v>
      </c>
      <c r="W150" s="50">
        <v>0.000156</v>
      </c>
      <c r="X150" s="50">
        <v>0.004737</v>
      </c>
      <c r="Y150" s="50">
        <v>0</v>
      </c>
      <c r="Z150" s="50">
        <v>0.6666666666666666</v>
      </c>
      <c r="AA150" s="72">
        <v>150</v>
      </c>
      <c r="AB150" s="72"/>
      <c r="AC150" s="73"/>
      <c r="AD150" s="80" t="s">
        <v>980</v>
      </c>
      <c r="AE150" s="80"/>
      <c r="AF150" s="80"/>
      <c r="AG150" s="80"/>
      <c r="AH150" s="80"/>
      <c r="AI150" s="80"/>
      <c r="AJ150" s="87">
        <v>44399.28818287037</v>
      </c>
      <c r="AK150" s="85" t="str">
        <f>HYPERLINK("https://yt3.ggpht.com/ytc/AKedOLQgGWcSQYefRORbxYLXdN7sjSqx9fb-splxGDgBMlGrBljPhczOm4DNaA5ade2k=s88-c-k-c0x00ffffff-no-rj")</f>
        <v>https://yt3.ggpht.com/ytc/AKedOLQgGWcSQYefRORbxYLXdN7sjSqx9fb-splxGDgBMlGrBljPhczOm4DNaA5ade2k=s88-c-k-c0x00ffffff-no-rj</v>
      </c>
      <c r="AL150" s="80">
        <v>0</v>
      </c>
      <c r="AM150" s="80">
        <v>0</v>
      </c>
      <c r="AN150" s="80">
        <v>0</v>
      </c>
      <c r="AO150" s="80" t="b">
        <v>0</v>
      </c>
      <c r="AP150" s="80">
        <v>0</v>
      </c>
      <c r="AQ150" s="80"/>
      <c r="AR150" s="80"/>
      <c r="AS150" s="80" t="s">
        <v>1376</v>
      </c>
      <c r="AT150" s="85" t="str">
        <f>HYPERLINK("https://www.youtube.com/channel/UCuTRD7EkeDxVFdkdziqGAWA")</f>
        <v>https://www.youtube.com/channel/UCuTRD7EkeDxVFdkdziqGAWA</v>
      </c>
      <c r="AU150" s="80" t="str">
        <f>REPLACE(INDEX(GroupVertices[Group],MATCH(Vertices[[#This Row],[Vertex]],GroupVertices[Vertex],0)),1,1,"")</f>
        <v>4</v>
      </c>
      <c r="AV150" s="49">
        <v>0</v>
      </c>
      <c r="AW150" s="50">
        <v>0</v>
      </c>
      <c r="AX150" s="49">
        <v>0</v>
      </c>
      <c r="AY150" s="50">
        <v>0</v>
      </c>
      <c r="AZ150" s="49">
        <v>0</v>
      </c>
      <c r="BA150" s="50">
        <v>0</v>
      </c>
      <c r="BB150" s="49">
        <v>37</v>
      </c>
      <c r="BC150" s="50">
        <v>100</v>
      </c>
      <c r="BD150" s="49">
        <v>37</v>
      </c>
      <c r="BE150" s="49"/>
      <c r="BF150" s="49"/>
      <c r="BG150" s="49"/>
      <c r="BH150" s="49"/>
      <c r="BI150" s="49"/>
      <c r="BJ150" s="49"/>
      <c r="BK150" s="111" t="s">
        <v>2473</v>
      </c>
      <c r="BL150" s="111" t="s">
        <v>2535</v>
      </c>
      <c r="BM150" s="111" t="s">
        <v>2661</v>
      </c>
      <c r="BN150" s="111" t="s">
        <v>2661</v>
      </c>
      <c r="BO150" s="2"/>
      <c r="BP150" s="3"/>
      <c r="BQ150" s="3"/>
      <c r="BR150" s="3"/>
      <c r="BS150" s="3"/>
    </row>
    <row r="151" spans="1:71" ht="15">
      <c r="A151" s="65" t="s">
        <v>468</v>
      </c>
      <c r="B151" s="66"/>
      <c r="C151" s="66"/>
      <c r="D151" s="67">
        <v>969.0613026819923</v>
      </c>
      <c r="E151" s="69"/>
      <c r="F151" s="103" t="str">
        <f>HYPERLINK("https://yt3.ggpht.com/ytc/AKedOLQl6_5lTtqyNwjekeYAG5QQN9vNhbsCTCqZ63qhIbM=s88-c-k-c0x00ffffff-no-rj")</f>
        <v>https://yt3.ggpht.com/ytc/AKedOLQl6_5lTtqyNwjekeYAG5QQN9vNhbsCTCqZ63qhIbM=s88-c-k-c0x00ffffff-no-rj</v>
      </c>
      <c r="G151" s="66"/>
      <c r="H151" s="70" t="s">
        <v>981</v>
      </c>
      <c r="I151" s="71"/>
      <c r="J151" s="71" t="s">
        <v>75</v>
      </c>
      <c r="K151" s="70" t="s">
        <v>981</v>
      </c>
      <c r="L151" s="74">
        <v>726.4664662925896</v>
      </c>
      <c r="M151" s="75">
        <v>4898.75830078125</v>
      </c>
      <c r="N151" s="75">
        <v>9032.044921875</v>
      </c>
      <c r="O151" s="76"/>
      <c r="P151" s="77"/>
      <c r="Q151" s="77"/>
      <c r="R151" s="89"/>
      <c r="S151" s="49">
        <v>6</v>
      </c>
      <c r="T151" s="49">
        <v>2</v>
      </c>
      <c r="U151" s="50">
        <v>1006</v>
      </c>
      <c r="V151" s="50">
        <v>0.125628</v>
      </c>
      <c r="W151" s="50">
        <v>0.000694</v>
      </c>
      <c r="X151" s="50">
        <v>0.006083</v>
      </c>
      <c r="Y151" s="50">
        <v>0</v>
      </c>
      <c r="Z151" s="50">
        <v>0.2</v>
      </c>
      <c r="AA151" s="72">
        <v>151</v>
      </c>
      <c r="AB151" s="72"/>
      <c r="AC151" s="73"/>
      <c r="AD151" s="80" t="s">
        <v>981</v>
      </c>
      <c r="AE151" s="80" t="s">
        <v>1320</v>
      </c>
      <c r="AF151" s="80"/>
      <c r="AG151" s="80"/>
      <c r="AH151" s="80"/>
      <c r="AI151" s="80"/>
      <c r="AJ151" s="87">
        <v>42211.661770833336</v>
      </c>
      <c r="AK151" s="85" t="str">
        <f>HYPERLINK("https://yt3.ggpht.com/ytc/AKedOLQl6_5lTtqyNwjekeYAG5QQN9vNhbsCTCqZ63qhIbM=s88-c-k-c0x00ffffff-no-rj")</f>
        <v>https://yt3.ggpht.com/ytc/AKedOLQl6_5lTtqyNwjekeYAG5QQN9vNhbsCTCqZ63qhIbM=s88-c-k-c0x00ffffff-no-rj</v>
      </c>
      <c r="AL151" s="80">
        <v>164762</v>
      </c>
      <c r="AM151" s="80">
        <v>0</v>
      </c>
      <c r="AN151" s="80">
        <v>573</v>
      </c>
      <c r="AO151" s="80" t="b">
        <v>0</v>
      </c>
      <c r="AP151" s="80">
        <v>104</v>
      </c>
      <c r="AQ151" s="80"/>
      <c r="AR151" s="80"/>
      <c r="AS151" s="80" t="s">
        <v>1376</v>
      </c>
      <c r="AT151" s="85" t="str">
        <f>HYPERLINK("https://www.youtube.com/channel/UCuyDUN7SDHJd3-UQhX69A9w")</f>
        <v>https://www.youtube.com/channel/UCuyDUN7SDHJd3-UQhX69A9w</v>
      </c>
      <c r="AU151" s="80" t="str">
        <f>REPLACE(INDEX(GroupVertices[Group],MATCH(Vertices[[#This Row],[Vertex]],GroupVertices[Vertex],0)),1,1,"")</f>
        <v>4</v>
      </c>
      <c r="AV151" s="49">
        <v>3</v>
      </c>
      <c r="AW151" s="50">
        <v>4.615384615384615</v>
      </c>
      <c r="AX151" s="49">
        <v>0</v>
      </c>
      <c r="AY151" s="50">
        <v>0</v>
      </c>
      <c r="AZ151" s="49">
        <v>0</v>
      </c>
      <c r="BA151" s="50">
        <v>0</v>
      </c>
      <c r="BB151" s="49">
        <v>62</v>
      </c>
      <c r="BC151" s="50">
        <v>95.38461538461539</v>
      </c>
      <c r="BD151" s="49">
        <v>65</v>
      </c>
      <c r="BE151" s="49" t="s">
        <v>2122</v>
      </c>
      <c r="BF151" s="49" t="s">
        <v>2122</v>
      </c>
      <c r="BG151" s="49" t="s">
        <v>2173</v>
      </c>
      <c r="BH151" s="49" t="s">
        <v>2173</v>
      </c>
      <c r="BI151" s="49"/>
      <c r="BJ151" s="49"/>
      <c r="BK151" s="111" t="s">
        <v>2474</v>
      </c>
      <c r="BL151" s="111" t="s">
        <v>2474</v>
      </c>
      <c r="BM151" s="111" t="s">
        <v>2662</v>
      </c>
      <c r="BN151" s="111" t="s">
        <v>2662</v>
      </c>
      <c r="BO151" s="2"/>
      <c r="BP151" s="3"/>
      <c r="BQ151" s="3"/>
      <c r="BR151" s="3"/>
      <c r="BS151" s="3"/>
    </row>
    <row r="152" spans="1:71" ht="15">
      <c r="A152" s="65" t="s">
        <v>469</v>
      </c>
      <c r="B152" s="66"/>
      <c r="C152" s="66"/>
      <c r="D152" s="67">
        <v>150</v>
      </c>
      <c r="E152" s="69"/>
      <c r="F152" s="103" t="str">
        <f>HYPERLINK("https://yt3.ggpht.com/ytc/AKedOLRMPPbVJSr6IfoFGx6aYjgNrVC67YbB2HsSwrARLQ=s88-c-k-c0x00ffffff-no-rj")</f>
        <v>https://yt3.ggpht.com/ytc/AKedOLRMPPbVJSr6IfoFGx6aYjgNrVC67YbB2HsSwrARLQ=s88-c-k-c0x00ffffff-no-rj</v>
      </c>
      <c r="G152" s="66"/>
      <c r="H152" s="70" t="s">
        <v>982</v>
      </c>
      <c r="I152" s="71"/>
      <c r="J152" s="71" t="s">
        <v>159</v>
      </c>
      <c r="K152" s="70" t="s">
        <v>982</v>
      </c>
      <c r="L152" s="74">
        <v>1</v>
      </c>
      <c r="M152" s="75">
        <v>4760.4951171875</v>
      </c>
      <c r="N152" s="75">
        <v>9822.326171875</v>
      </c>
      <c r="O152" s="76"/>
      <c r="P152" s="77"/>
      <c r="Q152" s="77"/>
      <c r="R152" s="89"/>
      <c r="S152" s="49">
        <v>0</v>
      </c>
      <c r="T152" s="49">
        <v>1</v>
      </c>
      <c r="U152" s="50">
        <v>0</v>
      </c>
      <c r="V152" s="50">
        <v>0.103356</v>
      </c>
      <c r="W152" s="50">
        <v>7.8E-05</v>
      </c>
      <c r="X152" s="50">
        <v>0.003947</v>
      </c>
      <c r="Y152" s="50">
        <v>0</v>
      </c>
      <c r="Z152" s="50">
        <v>0</v>
      </c>
      <c r="AA152" s="72">
        <v>152</v>
      </c>
      <c r="AB152" s="72"/>
      <c r="AC152" s="73"/>
      <c r="AD152" s="80" t="s">
        <v>982</v>
      </c>
      <c r="AE152" s="80"/>
      <c r="AF152" s="80"/>
      <c r="AG152" s="80"/>
      <c r="AH152" s="80"/>
      <c r="AI152" s="80"/>
      <c r="AJ152" s="87">
        <v>41459.42570601852</v>
      </c>
      <c r="AK152" s="85" t="str">
        <f>HYPERLINK("https://yt3.ggpht.com/ytc/AKedOLRMPPbVJSr6IfoFGx6aYjgNrVC67YbB2HsSwrARLQ=s88-c-k-c0x00ffffff-no-rj")</f>
        <v>https://yt3.ggpht.com/ytc/AKedOLRMPPbVJSr6IfoFGx6aYjgNrVC67YbB2HsSwrARLQ=s88-c-k-c0x00ffffff-no-rj</v>
      </c>
      <c r="AL152" s="80">
        <v>4174</v>
      </c>
      <c r="AM152" s="80">
        <v>0</v>
      </c>
      <c r="AN152" s="80">
        <v>14</v>
      </c>
      <c r="AO152" s="80" t="b">
        <v>0</v>
      </c>
      <c r="AP152" s="80">
        <v>8</v>
      </c>
      <c r="AQ152" s="80"/>
      <c r="AR152" s="80"/>
      <c r="AS152" s="80" t="s">
        <v>1376</v>
      </c>
      <c r="AT152" s="85" t="str">
        <f>HYPERLINK("https://www.youtube.com/channel/UCJ7JJfGzhW5TZX5Pbsp6XyQ")</f>
        <v>https://www.youtube.com/channel/UCJ7JJfGzhW5TZX5Pbsp6XyQ</v>
      </c>
      <c r="AU152" s="80" t="str">
        <f>REPLACE(INDEX(GroupVertices[Group],MATCH(Vertices[[#This Row],[Vertex]],GroupVertices[Vertex],0)),1,1,"")</f>
        <v>4</v>
      </c>
      <c r="AV152" s="49">
        <v>3</v>
      </c>
      <c r="AW152" s="50">
        <v>18.75</v>
      </c>
      <c r="AX152" s="49">
        <v>0</v>
      </c>
      <c r="AY152" s="50">
        <v>0</v>
      </c>
      <c r="AZ152" s="49">
        <v>0</v>
      </c>
      <c r="BA152" s="50">
        <v>0</v>
      </c>
      <c r="BB152" s="49">
        <v>13</v>
      </c>
      <c r="BC152" s="50">
        <v>81.25</v>
      </c>
      <c r="BD152" s="49">
        <v>16</v>
      </c>
      <c r="BE152" s="49"/>
      <c r="BF152" s="49"/>
      <c r="BG152" s="49"/>
      <c r="BH152" s="49"/>
      <c r="BI152" s="49"/>
      <c r="BJ152" s="49"/>
      <c r="BK152" s="111" t="s">
        <v>2475</v>
      </c>
      <c r="BL152" s="111" t="s">
        <v>2475</v>
      </c>
      <c r="BM152" s="111" t="s">
        <v>2663</v>
      </c>
      <c r="BN152" s="111" t="s">
        <v>2663</v>
      </c>
      <c r="BO152" s="2"/>
      <c r="BP152" s="3"/>
      <c r="BQ152" s="3"/>
      <c r="BR152" s="3"/>
      <c r="BS152" s="3"/>
    </row>
    <row r="153" spans="1:71" ht="15">
      <c r="A153" s="65" t="s">
        <v>470</v>
      </c>
      <c r="B153" s="66"/>
      <c r="C153" s="66"/>
      <c r="D153" s="67">
        <v>150</v>
      </c>
      <c r="E153" s="69"/>
      <c r="F153" s="103" t="str">
        <f>HYPERLINK("https://yt3.ggpht.com/ytc/AKedOLQmmDzoaRA-6TsnIpr5WdhsoRxrcy0c_JYyDBu5GSs=s88-c-k-c0x00ffffff-no-rj")</f>
        <v>https://yt3.ggpht.com/ytc/AKedOLQmmDzoaRA-6TsnIpr5WdhsoRxrcy0c_JYyDBu5GSs=s88-c-k-c0x00ffffff-no-rj</v>
      </c>
      <c r="G153" s="66"/>
      <c r="H153" s="70" t="s">
        <v>983</v>
      </c>
      <c r="I153" s="71"/>
      <c r="J153" s="71" t="s">
        <v>159</v>
      </c>
      <c r="K153" s="70" t="s">
        <v>983</v>
      </c>
      <c r="L153" s="74">
        <v>1</v>
      </c>
      <c r="M153" s="75">
        <v>4499.36572265625</v>
      </c>
      <c r="N153" s="75">
        <v>9612.1201171875</v>
      </c>
      <c r="O153" s="76"/>
      <c r="P153" s="77"/>
      <c r="Q153" s="77"/>
      <c r="R153" s="89"/>
      <c r="S153" s="49">
        <v>0</v>
      </c>
      <c r="T153" s="49">
        <v>1</v>
      </c>
      <c r="U153" s="50">
        <v>0</v>
      </c>
      <c r="V153" s="50">
        <v>0.103356</v>
      </c>
      <c r="W153" s="50">
        <v>7.8E-05</v>
      </c>
      <c r="X153" s="50">
        <v>0.003947</v>
      </c>
      <c r="Y153" s="50">
        <v>0</v>
      </c>
      <c r="Z153" s="50">
        <v>0</v>
      </c>
      <c r="AA153" s="72">
        <v>153</v>
      </c>
      <c r="AB153" s="72"/>
      <c r="AC153" s="73"/>
      <c r="AD153" s="80" t="s">
        <v>983</v>
      </c>
      <c r="AE153" s="80"/>
      <c r="AF153" s="80"/>
      <c r="AG153" s="80"/>
      <c r="AH153" s="80"/>
      <c r="AI153" s="80"/>
      <c r="AJ153" s="87">
        <v>42270.52148148148</v>
      </c>
      <c r="AK153" s="85" t="str">
        <f>HYPERLINK("https://yt3.ggpht.com/ytc/AKedOLQmmDzoaRA-6TsnIpr5WdhsoRxrcy0c_JYyDBu5GSs=s88-c-k-c0x00ffffff-no-rj")</f>
        <v>https://yt3.ggpht.com/ytc/AKedOLQmmDzoaRA-6TsnIpr5WdhsoRxrcy0c_JYyDBu5GSs=s88-c-k-c0x00ffffff-no-rj</v>
      </c>
      <c r="AL153" s="80">
        <v>0</v>
      </c>
      <c r="AM153" s="80">
        <v>0</v>
      </c>
      <c r="AN153" s="80">
        <v>1</v>
      </c>
      <c r="AO153" s="80" t="b">
        <v>0</v>
      </c>
      <c r="AP153" s="80">
        <v>0</v>
      </c>
      <c r="AQ153" s="80"/>
      <c r="AR153" s="80"/>
      <c r="AS153" s="80" t="s">
        <v>1376</v>
      </c>
      <c r="AT153" s="85" t="str">
        <f>HYPERLINK("https://www.youtube.com/channel/UCBG9ELVWsYR8H8WS_KGQufQ")</f>
        <v>https://www.youtube.com/channel/UCBG9ELVWsYR8H8WS_KGQufQ</v>
      </c>
      <c r="AU153" s="80" t="str">
        <f>REPLACE(INDEX(GroupVertices[Group],MATCH(Vertices[[#This Row],[Vertex]],GroupVertices[Vertex],0)),1,1,"")</f>
        <v>4</v>
      </c>
      <c r="AV153" s="49">
        <v>3</v>
      </c>
      <c r="AW153" s="50">
        <v>42.857142857142854</v>
      </c>
      <c r="AX153" s="49">
        <v>0</v>
      </c>
      <c r="AY153" s="50">
        <v>0</v>
      </c>
      <c r="AZ153" s="49">
        <v>0</v>
      </c>
      <c r="BA153" s="50">
        <v>0</v>
      </c>
      <c r="BB153" s="49">
        <v>4</v>
      </c>
      <c r="BC153" s="50">
        <v>57.142857142857146</v>
      </c>
      <c r="BD153" s="49">
        <v>7</v>
      </c>
      <c r="BE153" s="49"/>
      <c r="BF153" s="49"/>
      <c r="BG153" s="49"/>
      <c r="BH153" s="49"/>
      <c r="BI153" s="49"/>
      <c r="BJ153" s="49"/>
      <c r="BK153" s="111" t="s">
        <v>2476</v>
      </c>
      <c r="BL153" s="111" t="s">
        <v>2476</v>
      </c>
      <c r="BM153" s="111" t="s">
        <v>2664</v>
      </c>
      <c r="BN153" s="111" t="s">
        <v>2664</v>
      </c>
      <c r="BO153" s="2"/>
      <c r="BP153" s="3"/>
      <c r="BQ153" s="3"/>
      <c r="BR153" s="3"/>
      <c r="BS153" s="3"/>
    </row>
    <row r="154" spans="1:71" ht="15">
      <c r="A154" s="65" t="s">
        <v>471</v>
      </c>
      <c r="B154" s="66"/>
      <c r="C154" s="66"/>
      <c r="D154" s="67">
        <v>150</v>
      </c>
      <c r="E154" s="69"/>
      <c r="F154" s="103" t="str">
        <f>HYPERLINK("https://yt3.ggpht.com/ytc/AKedOLTn6wAFiWwlxLFK0Cj3SbXkE2j1rltC9anuJ_ELuZidiMAkwTR9kuDI1CL5UxR-=s88-c-k-c0x00ffffff-no-rj")</f>
        <v>https://yt3.ggpht.com/ytc/AKedOLTn6wAFiWwlxLFK0Cj3SbXkE2j1rltC9anuJ_ELuZidiMAkwTR9kuDI1CL5UxR-=s88-c-k-c0x00ffffff-no-rj</v>
      </c>
      <c r="G154" s="66"/>
      <c r="H154" s="70" t="s">
        <v>984</v>
      </c>
      <c r="I154" s="71"/>
      <c r="J154" s="71" t="s">
        <v>159</v>
      </c>
      <c r="K154" s="70" t="s">
        <v>984</v>
      </c>
      <c r="L154" s="74">
        <v>1</v>
      </c>
      <c r="M154" s="75">
        <v>5075.21240234375</v>
      </c>
      <c r="N154" s="75">
        <v>9773.4814453125</v>
      </c>
      <c r="O154" s="76"/>
      <c r="P154" s="77"/>
      <c r="Q154" s="77"/>
      <c r="R154" s="89"/>
      <c r="S154" s="49">
        <v>0</v>
      </c>
      <c r="T154" s="49">
        <v>1</v>
      </c>
      <c r="U154" s="50">
        <v>0</v>
      </c>
      <c r="V154" s="50">
        <v>0.103356</v>
      </c>
      <c r="W154" s="50">
        <v>7.8E-05</v>
      </c>
      <c r="X154" s="50">
        <v>0.003947</v>
      </c>
      <c r="Y154" s="50">
        <v>0</v>
      </c>
      <c r="Z154" s="50">
        <v>0</v>
      </c>
      <c r="AA154" s="72">
        <v>154</v>
      </c>
      <c r="AB154" s="72"/>
      <c r="AC154" s="73"/>
      <c r="AD154" s="80" t="s">
        <v>984</v>
      </c>
      <c r="AE154" s="80"/>
      <c r="AF154" s="80"/>
      <c r="AG154" s="80"/>
      <c r="AH154" s="80"/>
      <c r="AI154" s="80"/>
      <c r="AJ154" s="87">
        <v>44586.763333333336</v>
      </c>
      <c r="AK154" s="85" t="str">
        <f>HYPERLINK("https://yt3.ggpht.com/ytc/AKedOLTn6wAFiWwlxLFK0Cj3SbXkE2j1rltC9anuJ_ELuZidiMAkwTR9kuDI1CL5UxR-=s88-c-k-c0x00ffffff-no-rj")</f>
        <v>https://yt3.ggpht.com/ytc/AKedOLTn6wAFiWwlxLFK0Cj3SbXkE2j1rltC9anuJ_ELuZidiMAkwTR9kuDI1CL5UxR-=s88-c-k-c0x00ffffff-no-rj</v>
      </c>
      <c r="AL154" s="80">
        <v>0</v>
      </c>
      <c r="AM154" s="80">
        <v>0</v>
      </c>
      <c r="AN154" s="80">
        <v>0</v>
      </c>
      <c r="AO154" s="80" t="b">
        <v>0</v>
      </c>
      <c r="AP154" s="80">
        <v>0</v>
      </c>
      <c r="AQ154" s="80"/>
      <c r="AR154" s="80"/>
      <c r="AS154" s="80" t="s">
        <v>1376</v>
      </c>
      <c r="AT154" s="85" t="str">
        <f>HYPERLINK("https://www.youtube.com/channel/UCEPBRv8fyf8zIR1gzyGn8qg")</f>
        <v>https://www.youtube.com/channel/UCEPBRv8fyf8zIR1gzyGn8qg</v>
      </c>
      <c r="AU154" s="80" t="str">
        <f>REPLACE(INDEX(GroupVertices[Group],MATCH(Vertices[[#This Row],[Vertex]],GroupVertices[Vertex],0)),1,1,"")</f>
        <v>4</v>
      </c>
      <c r="AV154" s="49">
        <v>2</v>
      </c>
      <c r="AW154" s="50">
        <v>16.666666666666668</v>
      </c>
      <c r="AX154" s="49">
        <v>0</v>
      </c>
      <c r="AY154" s="50">
        <v>0</v>
      </c>
      <c r="AZ154" s="49">
        <v>0</v>
      </c>
      <c r="BA154" s="50">
        <v>0</v>
      </c>
      <c r="BB154" s="49">
        <v>10</v>
      </c>
      <c r="BC154" s="50">
        <v>83.33333333333333</v>
      </c>
      <c r="BD154" s="49">
        <v>12</v>
      </c>
      <c r="BE154" s="49"/>
      <c r="BF154" s="49"/>
      <c r="BG154" s="49"/>
      <c r="BH154" s="49"/>
      <c r="BI154" s="49"/>
      <c r="BJ154" s="49"/>
      <c r="BK154" s="111" t="s">
        <v>2477</v>
      </c>
      <c r="BL154" s="111" t="s">
        <v>2477</v>
      </c>
      <c r="BM154" s="111" t="s">
        <v>2665</v>
      </c>
      <c r="BN154" s="111" t="s">
        <v>2665</v>
      </c>
      <c r="BO154" s="2"/>
      <c r="BP154" s="3"/>
      <c r="BQ154" s="3"/>
      <c r="BR154" s="3"/>
      <c r="BS154" s="3"/>
    </row>
    <row r="155" spans="1:71" ht="15">
      <c r="A155" s="65" t="s">
        <v>472</v>
      </c>
      <c r="B155" s="66"/>
      <c r="C155" s="66"/>
      <c r="D155" s="67">
        <v>150</v>
      </c>
      <c r="E155" s="69"/>
      <c r="F155" s="103" t="str">
        <f>HYPERLINK("https://yt3.ggpht.com/ytc/AKedOLRK5WToHaZYdm-n3-nAP1GPZu7QjVqAKVNPOKG1zA=s88-c-k-c0x00ffffff-no-rj")</f>
        <v>https://yt3.ggpht.com/ytc/AKedOLRK5WToHaZYdm-n3-nAP1GPZu7QjVqAKVNPOKG1zA=s88-c-k-c0x00ffffff-no-rj</v>
      </c>
      <c r="G155" s="66"/>
      <c r="H155" s="70" t="s">
        <v>985</v>
      </c>
      <c r="I155" s="71"/>
      <c r="J155" s="71" t="s">
        <v>159</v>
      </c>
      <c r="K155" s="70" t="s">
        <v>985</v>
      </c>
      <c r="L155" s="74">
        <v>1</v>
      </c>
      <c r="M155" s="75">
        <v>2953.439697265625</v>
      </c>
      <c r="N155" s="75">
        <v>7272.8271484375</v>
      </c>
      <c r="O155" s="76"/>
      <c r="P155" s="77"/>
      <c r="Q155" s="77"/>
      <c r="R155" s="89"/>
      <c r="S155" s="49">
        <v>0</v>
      </c>
      <c r="T155" s="49">
        <v>1</v>
      </c>
      <c r="U155" s="50">
        <v>0</v>
      </c>
      <c r="V155" s="50">
        <v>0.189881</v>
      </c>
      <c r="W155" s="50">
        <v>0.080745</v>
      </c>
      <c r="X155" s="50">
        <v>0.003874</v>
      </c>
      <c r="Y155" s="50">
        <v>0</v>
      </c>
      <c r="Z155" s="50">
        <v>0</v>
      </c>
      <c r="AA155" s="72">
        <v>155</v>
      </c>
      <c r="AB155" s="72"/>
      <c r="AC155" s="73"/>
      <c r="AD155" s="80" t="s">
        <v>985</v>
      </c>
      <c r="AE155" s="80"/>
      <c r="AF155" s="80"/>
      <c r="AG155" s="80"/>
      <c r="AH155" s="80"/>
      <c r="AI155" s="80"/>
      <c r="AJ155" s="87">
        <v>41453.10909722222</v>
      </c>
      <c r="AK155" s="85" t="str">
        <f>HYPERLINK("https://yt3.ggpht.com/ytc/AKedOLRK5WToHaZYdm-n3-nAP1GPZu7QjVqAKVNPOKG1zA=s88-c-k-c0x00ffffff-no-rj")</f>
        <v>https://yt3.ggpht.com/ytc/AKedOLRK5WToHaZYdm-n3-nAP1GPZu7QjVqAKVNPOKG1zA=s88-c-k-c0x00ffffff-no-rj</v>
      </c>
      <c r="AL155" s="80">
        <v>0</v>
      </c>
      <c r="AM155" s="80">
        <v>0</v>
      </c>
      <c r="AN155" s="80">
        <v>0</v>
      </c>
      <c r="AO155" s="80" t="b">
        <v>0</v>
      </c>
      <c r="AP155" s="80">
        <v>0</v>
      </c>
      <c r="AQ155" s="80"/>
      <c r="AR155" s="80"/>
      <c r="AS155" s="80" t="s">
        <v>1376</v>
      </c>
      <c r="AT155" s="85" t="str">
        <f>HYPERLINK("https://www.youtube.com/channel/UC4rU9PYja99OHl9qHrP0llQ")</f>
        <v>https://www.youtube.com/channel/UC4rU9PYja99OHl9qHrP0llQ</v>
      </c>
      <c r="AU155" s="80" t="str">
        <f>REPLACE(INDEX(GroupVertices[Group],MATCH(Vertices[[#This Row],[Vertex]],GroupVertices[Vertex],0)),1,1,"")</f>
        <v>1</v>
      </c>
      <c r="AV155" s="49">
        <v>1</v>
      </c>
      <c r="AW155" s="50">
        <v>16.666666666666668</v>
      </c>
      <c r="AX155" s="49">
        <v>0</v>
      </c>
      <c r="AY155" s="50">
        <v>0</v>
      </c>
      <c r="AZ155" s="49">
        <v>0</v>
      </c>
      <c r="BA155" s="50">
        <v>0</v>
      </c>
      <c r="BB155" s="49">
        <v>5</v>
      </c>
      <c r="BC155" s="50">
        <v>83.33333333333333</v>
      </c>
      <c r="BD155" s="49">
        <v>6</v>
      </c>
      <c r="BE155" s="49"/>
      <c r="BF155" s="49"/>
      <c r="BG155" s="49"/>
      <c r="BH155" s="49"/>
      <c r="BI155" s="49"/>
      <c r="BJ155" s="49"/>
      <c r="BK155" s="111" t="s">
        <v>1465</v>
      </c>
      <c r="BL155" s="111" t="s">
        <v>1465</v>
      </c>
      <c r="BM155" s="111" t="s">
        <v>1239</v>
      </c>
      <c r="BN155" s="111" t="s">
        <v>1239</v>
      </c>
      <c r="BO155" s="2"/>
      <c r="BP155" s="3"/>
      <c r="BQ155" s="3"/>
      <c r="BR155" s="3"/>
      <c r="BS155" s="3"/>
    </row>
    <row r="156" spans="1:71" ht="15">
      <c r="A156" s="65" t="s">
        <v>473</v>
      </c>
      <c r="B156" s="66"/>
      <c r="C156" s="66"/>
      <c r="D156" s="67">
        <v>150</v>
      </c>
      <c r="E156" s="69"/>
      <c r="F156" s="103" t="str">
        <f>HYPERLINK("https://yt3.ggpht.com/ytc/AKedOLSeYb7I-tHvgwieddIx0O0eAzLcojPklYgm5HTgcA=s88-c-k-c0x00ffffff-no-rj")</f>
        <v>https://yt3.ggpht.com/ytc/AKedOLSeYb7I-tHvgwieddIx0O0eAzLcojPklYgm5HTgcA=s88-c-k-c0x00ffffff-no-rj</v>
      </c>
      <c r="G156" s="66"/>
      <c r="H156" s="70" t="s">
        <v>986</v>
      </c>
      <c r="I156" s="71"/>
      <c r="J156" s="71" t="s">
        <v>159</v>
      </c>
      <c r="K156" s="70" t="s">
        <v>986</v>
      </c>
      <c r="L156" s="74">
        <v>1</v>
      </c>
      <c r="M156" s="75">
        <v>2390.30517578125</v>
      </c>
      <c r="N156" s="75">
        <v>9134.087890625</v>
      </c>
      <c r="O156" s="76"/>
      <c r="P156" s="77"/>
      <c r="Q156" s="77"/>
      <c r="R156" s="89"/>
      <c r="S156" s="49">
        <v>0</v>
      </c>
      <c r="T156" s="49">
        <v>1</v>
      </c>
      <c r="U156" s="50">
        <v>0</v>
      </c>
      <c r="V156" s="50">
        <v>0.189881</v>
      </c>
      <c r="W156" s="50">
        <v>0.080745</v>
      </c>
      <c r="X156" s="50">
        <v>0.003874</v>
      </c>
      <c r="Y156" s="50">
        <v>0</v>
      </c>
      <c r="Z156" s="50">
        <v>0</v>
      </c>
      <c r="AA156" s="72">
        <v>156</v>
      </c>
      <c r="AB156" s="72"/>
      <c r="AC156" s="73"/>
      <c r="AD156" s="80" t="s">
        <v>986</v>
      </c>
      <c r="AE156" s="80"/>
      <c r="AF156" s="80"/>
      <c r="AG156" s="80"/>
      <c r="AH156" s="80"/>
      <c r="AI156" s="80"/>
      <c r="AJ156" s="87">
        <v>41326.60821759259</v>
      </c>
      <c r="AK156" s="85" t="str">
        <f>HYPERLINK("https://yt3.ggpht.com/ytc/AKedOLSeYb7I-tHvgwieddIx0O0eAzLcojPklYgm5HTgcA=s88-c-k-c0x00ffffff-no-rj")</f>
        <v>https://yt3.ggpht.com/ytc/AKedOLSeYb7I-tHvgwieddIx0O0eAzLcojPklYgm5HTgcA=s88-c-k-c0x00ffffff-no-rj</v>
      </c>
      <c r="AL156" s="80">
        <v>2809</v>
      </c>
      <c r="AM156" s="80">
        <v>0</v>
      </c>
      <c r="AN156" s="80">
        <v>6</v>
      </c>
      <c r="AO156" s="80" t="b">
        <v>0</v>
      </c>
      <c r="AP156" s="80">
        <v>1</v>
      </c>
      <c r="AQ156" s="80"/>
      <c r="AR156" s="80"/>
      <c r="AS156" s="80" t="s">
        <v>1376</v>
      </c>
      <c r="AT156" s="85" t="str">
        <f>HYPERLINK("https://www.youtube.com/channel/UCybalFNVaTrZPHp-_cPGb8Q")</f>
        <v>https://www.youtube.com/channel/UCybalFNVaTrZPHp-_cPGb8Q</v>
      </c>
      <c r="AU156" s="80" t="str">
        <f>REPLACE(INDEX(GroupVertices[Group],MATCH(Vertices[[#This Row],[Vertex]],GroupVertices[Vertex],0)),1,1,"")</f>
        <v>1</v>
      </c>
      <c r="AV156" s="49">
        <v>1</v>
      </c>
      <c r="AW156" s="50">
        <v>10</v>
      </c>
      <c r="AX156" s="49">
        <v>0</v>
      </c>
      <c r="AY156" s="50">
        <v>0</v>
      </c>
      <c r="AZ156" s="49">
        <v>0</v>
      </c>
      <c r="BA156" s="50">
        <v>0</v>
      </c>
      <c r="BB156" s="49">
        <v>9</v>
      </c>
      <c r="BC156" s="50">
        <v>90</v>
      </c>
      <c r="BD156" s="49">
        <v>10</v>
      </c>
      <c r="BE156" s="49"/>
      <c r="BF156" s="49"/>
      <c r="BG156" s="49"/>
      <c r="BH156" s="49"/>
      <c r="BI156" s="49"/>
      <c r="BJ156" s="49"/>
      <c r="BK156" s="111" t="s">
        <v>2440</v>
      </c>
      <c r="BL156" s="111" t="s">
        <v>2440</v>
      </c>
      <c r="BM156" s="111" t="s">
        <v>2630</v>
      </c>
      <c r="BN156" s="111" t="s">
        <v>2630</v>
      </c>
      <c r="BO156" s="2"/>
      <c r="BP156" s="3"/>
      <c r="BQ156" s="3"/>
      <c r="BR156" s="3"/>
      <c r="BS156" s="3"/>
    </row>
    <row r="157" spans="1:71" ht="15">
      <c r="A157" s="65" t="s">
        <v>474</v>
      </c>
      <c r="B157" s="66"/>
      <c r="C157" s="66"/>
      <c r="D157" s="67">
        <v>150</v>
      </c>
      <c r="E157" s="69"/>
      <c r="F157" s="103" t="str">
        <f>HYPERLINK("https://yt3.ggpht.com/ytc/AKedOLRJhrtbj43tXgvz5e5sE66L45_cxW9ocSLR_MJyUQ=s88-c-k-c0x00ffffff-no-rj")</f>
        <v>https://yt3.ggpht.com/ytc/AKedOLRJhrtbj43tXgvz5e5sE66L45_cxW9ocSLR_MJyUQ=s88-c-k-c0x00ffffff-no-rj</v>
      </c>
      <c r="G157" s="66"/>
      <c r="H157" s="70" t="s">
        <v>987</v>
      </c>
      <c r="I157" s="71"/>
      <c r="J157" s="71" t="s">
        <v>159</v>
      </c>
      <c r="K157" s="70" t="s">
        <v>987</v>
      </c>
      <c r="L157" s="74">
        <v>1</v>
      </c>
      <c r="M157" s="75">
        <v>3715.12744140625</v>
      </c>
      <c r="N157" s="75">
        <v>2870.33984375</v>
      </c>
      <c r="O157" s="76"/>
      <c r="P157" s="77"/>
      <c r="Q157" s="77"/>
      <c r="R157" s="89"/>
      <c r="S157" s="49">
        <v>0</v>
      </c>
      <c r="T157" s="49">
        <v>1</v>
      </c>
      <c r="U157" s="50">
        <v>0</v>
      </c>
      <c r="V157" s="50">
        <v>0.143783</v>
      </c>
      <c r="W157" s="50">
        <v>0.00918</v>
      </c>
      <c r="X157" s="50">
        <v>0.004132</v>
      </c>
      <c r="Y157" s="50">
        <v>0</v>
      </c>
      <c r="Z157" s="50">
        <v>0</v>
      </c>
      <c r="AA157" s="72">
        <v>157</v>
      </c>
      <c r="AB157" s="72"/>
      <c r="AC157" s="73"/>
      <c r="AD157" s="80" t="s">
        <v>987</v>
      </c>
      <c r="AE157" s="80" t="s">
        <v>1321</v>
      </c>
      <c r="AF157" s="80"/>
      <c r="AG157" s="80"/>
      <c r="AH157" s="80"/>
      <c r="AI157" s="80"/>
      <c r="AJ157" s="87">
        <v>41815.67710648148</v>
      </c>
      <c r="AK157" s="85" t="str">
        <f>HYPERLINK("https://yt3.ggpht.com/ytc/AKedOLRJhrtbj43tXgvz5e5sE66L45_cxW9ocSLR_MJyUQ=s88-c-k-c0x00ffffff-no-rj")</f>
        <v>https://yt3.ggpht.com/ytc/AKedOLRJhrtbj43tXgvz5e5sE66L45_cxW9ocSLR_MJyUQ=s88-c-k-c0x00ffffff-no-rj</v>
      </c>
      <c r="AL157" s="80">
        <v>0</v>
      </c>
      <c r="AM157" s="80">
        <v>0</v>
      </c>
      <c r="AN157" s="80">
        <v>5</v>
      </c>
      <c r="AO157" s="80" t="b">
        <v>0</v>
      </c>
      <c r="AP157" s="80">
        <v>0</v>
      </c>
      <c r="AQ157" s="80"/>
      <c r="AR157" s="80"/>
      <c r="AS157" s="80" t="s">
        <v>1376</v>
      </c>
      <c r="AT157" s="85" t="str">
        <f>HYPERLINK("https://www.youtube.com/channel/UC_8SF2yDQfYFS_B66zwsdDw")</f>
        <v>https://www.youtube.com/channel/UC_8SF2yDQfYFS_B66zwsdDw</v>
      </c>
      <c r="AU157" s="80" t="str">
        <f>REPLACE(INDEX(GroupVertices[Group],MATCH(Vertices[[#This Row],[Vertex]],GroupVertices[Vertex],0)),1,1,"")</f>
        <v>1</v>
      </c>
      <c r="AV157" s="49">
        <v>0</v>
      </c>
      <c r="AW157" s="50">
        <v>0</v>
      </c>
      <c r="AX157" s="49">
        <v>0</v>
      </c>
      <c r="AY157" s="50">
        <v>0</v>
      </c>
      <c r="AZ157" s="49">
        <v>0</v>
      </c>
      <c r="BA157" s="50">
        <v>0</v>
      </c>
      <c r="BB157" s="49">
        <v>27</v>
      </c>
      <c r="BC157" s="50">
        <v>100</v>
      </c>
      <c r="BD157" s="49">
        <v>27</v>
      </c>
      <c r="BE157" s="49"/>
      <c r="BF157" s="49"/>
      <c r="BG157" s="49"/>
      <c r="BH157" s="49"/>
      <c r="BI157" s="49"/>
      <c r="BJ157" s="49"/>
      <c r="BK157" s="111" t="s">
        <v>2478</v>
      </c>
      <c r="BL157" s="111" t="s">
        <v>2478</v>
      </c>
      <c r="BM157" s="111" t="s">
        <v>2666</v>
      </c>
      <c r="BN157" s="111" t="s">
        <v>2666</v>
      </c>
      <c r="BO157" s="2"/>
      <c r="BP157" s="3"/>
      <c r="BQ157" s="3"/>
      <c r="BR157" s="3"/>
      <c r="BS157" s="3"/>
    </row>
    <row r="158" spans="1:71" ht="15">
      <c r="A158" s="65" t="s">
        <v>475</v>
      </c>
      <c r="B158" s="66"/>
      <c r="C158" s="66"/>
      <c r="D158" s="67">
        <v>358.42911877394636</v>
      </c>
      <c r="E158" s="69"/>
      <c r="F158" s="103" t="str">
        <f>HYPERLINK("https://yt3.ggpht.com/ytc/AKedOLQj35x6rs4qhWG-TUtPCXp206-CmSQFnCcsr106zg=s88-c-k-c0x00ffffff-no-rj")</f>
        <v>https://yt3.ggpht.com/ytc/AKedOLQj35x6rs4qhWG-TUtPCXp206-CmSQFnCcsr106zg=s88-c-k-c0x00ffffff-no-rj</v>
      </c>
      <c r="G158" s="66"/>
      <c r="H158" s="70" t="s">
        <v>988</v>
      </c>
      <c r="I158" s="71"/>
      <c r="J158" s="71" t="s">
        <v>75</v>
      </c>
      <c r="K158" s="70" t="s">
        <v>988</v>
      </c>
      <c r="L158" s="74">
        <v>185.61174490149398</v>
      </c>
      <c r="M158" s="75">
        <v>2887.089599609375</v>
      </c>
      <c r="N158" s="75">
        <v>4311.16748046875</v>
      </c>
      <c r="O158" s="76"/>
      <c r="P158" s="77"/>
      <c r="Q158" s="77"/>
      <c r="R158" s="89"/>
      <c r="S158" s="49">
        <v>2</v>
      </c>
      <c r="T158" s="49">
        <v>1</v>
      </c>
      <c r="U158" s="50">
        <v>256</v>
      </c>
      <c r="V158" s="50">
        <v>0.190852</v>
      </c>
      <c r="W158" s="50">
        <v>0.081776</v>
      </c>
      <c r="X158" s="50">
        <v>0.004494</v>
      </c>
      <c r="Y158" s="50">
        <v>0</v>
      </c>
      <c r="Z158" s="50">
        <v>0.5</v>
      </c>
      <c r="AA158" s="72">
        <v>158</v>
      </c>
      <c r="AB158" s="72"/>
      <c r="AC158" s="73"/>
      <c r="AD158" s="80" t="s">
        <v>988</v>
      </c>
      <c r="AE158" s="80"/>
      <c r="AF158" s="80"/>
      <c r="AG158" s="80"/>
      <c r="AH158" s="80"/>
      <c r="AI158" s="80"/>
      <c r="AJ158" s="87">
        <v>40858.608819444446</v>
      </c>
      <c r="AK158" s="85" t="str">
        <f>HYPERLINK("https://yt3.ggpht.com/ytc/AKedOLQj35x6rs4qhWG-TUtPCXp206-CmSQFnCcsr106zg=s88-c-k-c0x00ffffff-no-rj")</f>
        <v>https://yt3.ggpht.com/ytc/AKedOLQj35x6rs4qhWG-TUtPCXp206-CmSQFnCcsr106zg=s88-c-k-c0x00ffffff-no-rj</v>
      </c>
      <c r="AL158" s="80">
        <v>5</v>
      </c>
      <c r="AM158" s="80">
        <v>0</v>
      </c>
      <c r="AN158" s="80">
        <v>0</v>
      </c>
      <c r="AO158" s="80" t="b">
        <v>0</v>
      </c>
      <c r="AP158" s="80">
        <v>1</v>
      </c>
      <c r="AQ158" s="80"/>
      <c r="AR158" s="80"/>
      <c r="AS158" s="80" t="s">
        <v>1376</v>
      </c>
      <c r="AT158" s="85" t="str">
        <f>HYPERLINK("https://www.youtube.com/channel/UCVTt3IPhlNu2cae9QyIFZHg")</f>
        <v>https://www.youtube.com/channel/UCVTt3IPhlNu2cae9QyIFZHg</v>
      </c>
      <c r="AU158" s="80" t="str">
        <f>REPLACE(INDEX(GroupVertices[Group],MATCH(Vertices[[#This Row],[Vertex]],GroupVertices[Vertex],0)),1,1,"")</f>
        <v>1</v>
      </c>
      <c r="AV158" s="49">
        <v>1</v>
      </c>
      <c r="AW158" s="50">
        <v>7.6923076923076925</v>
      </c>
      <c r="AX158" s="49">
        <v>0</v>
      </c>
      <c r="AY158" s="50">
        <v>0</v>
      </c>
      <c r="AZ158" s="49">
        <v>0</v>
      </c>
      <c r="BA158" s="50">
        <v>0</v>
      </c>
      <c r="BB158" s="49">
        <v>12</v>
      </c>
      <c r="BC158" s="50">
        <v>92.3076923076923</v>
      </c>
      <c r="BD158" s="49">
        <v>13</v>
      </c>
      <c r="BE158" s="49"/>
      <c r="BF158" s="49"/>
      <c r="BG158" s="49"/>
      <c r="BH158" s="49"/>
      <c r="BI158" s="49"/>
      <c r="BJ158" s="49"/>
      <c r="BK158" s="111" t="s">
        <v>2479</v>
      </c>
      <c r="BL158" s="111" t="s">
        <v>2479</v>
      </c>
      <c r="BM158" s="111" t="s">
        <v>2667</v>
      </c>
      <c r="BN158" s="111" t="s">
        <v>2667</v>
      </c>
      <c r="BO158" s="2"/>
      <c r="BP158" s="3"/>
      <c r="BQ158" s="3"/>
      <c r="BR158" s="3"/>
      <c r="BS158" s="3"/>
    </row>
    <row r="159" spans="1:71" ht="15">
      <c r="A159" s="65" t="s">
        <v>476</v>
      </c>
      <c r="B159" s="66"/>
      <c r="C159" s="66"/>
      <c r="D159" s="67">
        <v>150</v>
      </c>
      <c r="E159" s="69"/>
      <c r="F159" s="103" t="str">
        <f>HYPERLINK("https://yt3.ggpht.com/ytc/AKedOLQoDVKoubhYcK8cPQhW3X420h40UOTHa7cAZw=s88-c-k-c0x00ffffff-no-rj")</f>
        <v>https://yt3.ggpht.com/ytc/AKedOLQoDVKoubhYcK8cPQhW3X420h40UOTHa7cAZw=s88-c-k-c0x00ffffff-no-rj</v>
      </c>
      <c r="G159" s="66"/>
      <c r="H159" s="70" t="s">
        <v>989</v>
      </c>
      <c r="I159" s="71"/>
      <c r="J159" s="71" t="s">
        <v>159</v>
      </c>
      <c r="K159" s="70" t="s">
        <v>989</v>
      </c>
      <c r="L159" s="74">
        <v>1</v>
      </c>
      <c r="M159" s="75">
        <v>1312.9356689453125</v>
      </c>
      <c r="N159" s="75">
        <v>3509.46240234375</v>
      </c>
      <c r="O159" s="76"/>
      <c r="P159" s="77"/>
      <c r="Q159" s="77"/>
      <c r="R159" s="89"/>
      <c r="S159" s="49">
        <v>0</v>
      </c>
      <c r="T159" s="49">
        <v>1</v>
      </c>
      <c r="U159" s="50">
        <v>0</v>
      </c>
      <c r="V159" s="50">
        <v>0.189881</v>
      </c>
      <c r="W159" s="50">
        <v>0.080745</v>
      </c>
      <c r="X159" s="50">
        <v>0.003874</v>
      </c>
      <c r="Y159" s="50">
        <v>0</v>
      </c>
      <c r="Z159" s="50">
        <v>0</v>
      </c>
      <c r="AA159" s="72">
        <v>159</v>
      </c>
      <c r="AB159" s="72"/>
      <c r="AC159" s="73"/>
      <c r="AD159" s="80" t="s">
        <v>989</v>
      </c>
      <c r="AE159" s="80"/>
      <c r="AF159" s="80"/>
      <c r="AG159" s="80"/>
      <c r="AH159" s="80"/>
      <c r="AI159" s="80"/>
      <c r="AJ159" s="87">
        <v>42396.51677083333</v>
      </c>
      <c r="AK159" s="85" t="str">
        <f>HYPERLINK("https://yt3.ggpht.com/ytc/AKedOLQoDVKoubhYcK8cPQhW3X420h40UOTHa7cAZw=s88-c-k-c0x00ffffff-no-rj")</f>
        <v>https://yt3.ggpht.com/ytc/AKedOLQoDVKoubhYcK8cPQhW3X420h40UOTHa7cAZw=s88-c-k-c0x00ffffff-no-rj</v>
      </c>
      <c r="AL159" s="80">
        <v>0</v>
      </c>
      <c r="AM159" s="80">
        <v>0</v>
      </c>
      <c r="AN159" s="80">
        <v>0</v>
      </c>
      <c r="AO159" s="80" t="b">
        <v>0</v>
      </c>
      <c r="AP159" s="80">
        <v>0</v>
      </c>
      <c r="AQ159" s="80"/>
      <c r="AR159" s="80"/>
      <c r="AS159" s="80" t="s">
        <v>1376</v>
      </c>
      <c r="AT159" s="85" t="str">
        <f>HYPERLINK("https://www.youtube.com/channel/UC5atOZ2cXiS_TcTq8DV2gzQ")</f>
        <v>https://www.youtube.com/channel/UC5atOZ2cXiS_TcTq8DV2gzQ</v>
      </c>
      <c r="AU159" s="80" t="str">
        <f>REPLACE(INDEX(GroupVertices[Group],MATCH(Vertices[[#This Row],[Vertex]],GroupVertices[Vertex],0)),1,1,"")</f>
        <v>1</v>
      </c>
      <c r="AV159" s="49">
        <v>2</v>
      </c>
      <c r="AW159" s="50">
        <v>6.896551724137931</v>
      </c>
      <c r="AX159" s="49">
        <v>0</v>
      </c>
      <c r="AY159" s="50">
        <v>0</v>
      </c>
      <c r="AZ159" s="49">
        <v>0</v>
      </c>
      <c r="BA159" s="50">
        <v>0</v>
      </c>
      <c r="BB159" s="49">
        <v>27</v>
      </c>
      <c r="BC159" s="50">
        <v>93.10344827586206</v>
      </c>
      <c r="BD159" s="49">
        <v>29</v>
      </c>
      <c r="BE159" s="49"/>
      <c r="BF159" s="49"/>
      <c r="BG159" s="49"/>
      <c r="BH159" s="49"/>
      <c r="BI159" s="49"/>
      <c r="BJ159" s="49"/>
      <c r="BK159" s="111" t="s">
        <v>2480</v>
      </c>
      <c r="BL159" s="111" t="s">
        <v>2480</v>
      </c>
      <c r="BM159" s="111" t="s">
        <v>2668</v>
      </c>
      <c r="BN159" s="111" t="s">
        <v>2668</v>
      </c>
      <c r="BO159" s="2"/>
      <c r="BP159" s="3"/>
      <c r="BQ159" s="3"/>
      <c r="BR159" s="3"/>
      <c r="BS159" s="3"/>
    </row>
    <row r="160" spans="1:71" ht="15">
      <c r="A160" s="65" t="s">
        <v>477</v>
      </c>
      <c r="B160" s="66"/>
      <c r="C160" s="66"/>
      <c r="D160" s="67">
        <v>150</v>
      </c>
      <c r="E160" s="69"/>
      <c r="F160" s="103" t="str">
        <f>HYPERLINK("https://yt3.ggpht.com/D9nTltBX7sDHcxHjvNlmX_euZzLU4q6KzCLogfEFAYRwEkTSvxAaL-mT3lbENRlC1TwCcOwm1Q=s88-c-k-c0x00ffffff-no-rj")</f>
        <v>https://yt3.ggpht.com/D9nTltBX7sDHcxHjvNlmX_euZzLU4q6KzCLogfEFAYRwEkTSvxAaL-mT3lbENRlC1TwCcOwm1Q=s88-c-k-c0x00ffffff-no-rj</v>
      </c>
      <c r="G160" s="66"/>
      <c r="H160" s="70" t="s">
        <v>990</v>
      </c>
      <c r="I160" s="71"/>
      <c r="J160" s="71" t="s">
        <v>159</v>
      </c>
      <c r="K160" s="70" t="s">
        <v>990</v>
      </c>
      <c r="L160" s="74">
        <v>1</v>
      </c>
      <c r="M160" s="75">
        <v>2493.719482421875</v>
      </c>
      <c r="N160" s="75">
        <v>4505.1298828125</v>
      </c>
      <c r="O160" s="76"/>
      <c r="P160" s="77"/>
      <c r="Q160" s="77"/>
      <c r="R160" s="89"/>
      <c r="S160" s="49">
        <v>2</v>
      </c>
      <c r="T160" s="49">
        <v>2</v>
      </c>
      <c r="U160" s="50">
        <v>0</v>
      </c>
      <c r="V160" s="50">
        <v>0.189881</v>
      </c>
      <c r="W160" s="50">
        <v>0.090956</v>
      </c>
      <c r="X160" s="50">
        <v>0.004188</v>
      </c>
      <c r="Y160" s="50">
        <v>0</v>
      </c>
      <c r="Z160" s="50">
        <v>1</v>
      </c>
      <c r="AA160" s="72">
        <v>160</v>
      </c>
      <c r="AB160" s="72"/>
      <c r="AC160" s="73"/>
      <c r="AD160" s="80" t="s">
        <v>990</v>
      </c>
      <c r="AE160" s="80"/>
      <c r="AF160" s="80"/>
      <c r="AG160" s="80"/>
      <c r="AH160" s="80"/>
      <c r="AI160" s="80"/>
      <c r="AJ160" s="87">
        <v>40644.36802083333</v>
      </c>
      <c r="AK160" s="85" t="str">
        <f>HYPERLINK("https://yt3.ggpht.com/D9nTltBX7sDHcxHjvNlmX_euZzLU4q6KzCLogfEFAYRwEkTSvxAaL-mT3lbENRlC1TwCcOwm1Q=s88-c-k-c0x00ffffff-no-rj")</f>
        <v>https://yt3.ggpht.com/D9nTltBX7sDHcxHjvNlmX_euZzLU4q6KzCLogfEFAYRwEkTSvxAaL-mT3lbENRlC1TwCcOwm1Q=s88-c-k-c0x00ffffff-no-rj</v>
      </c>
      <c r="AL160" s="80">
        <v>0</v>
      </c>
      <c r="AM160" s="80">
        <v>0</v>
      </c>
      <c r="AN160" s="80">
        <v>0</v>
      </c>
      <c r="AO160" s="80" t="b">
        <v>1</v>
      </c>
      <c r="AP160" s="80">
        <v>0</v>
      </c>
      <c r="AQ160" s="80"/>
      <c r="AR160" s="80"/>
      <c r="AS160" s="80" t="s">
        <v>1376</v>
      </c>
      <c r="AT160" s="85" t="str">
        <f>HYPERLINK("https://www.youtube.com/channel/UCVi7No8pCGF2Ojhz1c_aUZQ")</f>
        <v>https://www.youtube.com/channel/UCVi7No8pCGF2Ojhz1c_aUZQ</v>
      </c>
      <c r="AU160" s="80" t="str">
        <f>REPLACE(INDEX(GroupVertices[Group],MATCH(Vertices[[#This Row],[Vertex]],GroupVertices[Vertex],0)),1,1,"")</f>
        <v>1</v>
      </c>
      <c r="AV160" s="49">
        <v>10</v>
      </c>
      <c r="AW160" s="50">
        <v>6.756756756756757</v>
      </c>
      <c r="AX160" s="49">
        <v>0</v>
      </c>
      <c r="AY160" s="50">
        <v>0</v>
      </c>
      <c r="AZ160" s="49">
        <v>0</v>
      </c>
      <c r="BA160" s="50">
        <v>0</v>
      </c>
      <c r="BB160" s="49">
        <v>138</v>
      </c>
      <c r="BC160" s="50">
        <v>93.24324324324324</v>
      </c>
      <c r="BD160" s="49">
        <v>148</v>
      </c>
      <c r="BE160" s="49"/>
      <c r="BF160" s="49"/>
      <c r="BG160" s="49"/>
      <c r="BH160" s="49"/>
      <c r="BI160" s="49"/>
      <c r="BJ160" s="49"/>
      <c r="BK160" s="111" t="s">
        <v>2481</v>
      </c>
      <c r="BL160" s="111" t="s">
        <v>2536</v>
      </c>
      <c r="BM160" s="111" t="s">
        <v>2669</v>
      </c>
      <c r="BN160" s="111" t="s">
        <v>2669</v>
      </c>
      <c r="BO160" s="2"/>
      <c r="BP160" s="3"/>
      <c r="BQ160" s="3"/>
      <c r="BR160" s="3"/>
      <c r="BS160" s="3"/>
    </row>
    <row r="161" spans="1:71" ht="15">
      <c r="A161" s="65" t="s">
        <v>478</v>
      </c>
      <c r="B161" s="66"/>
      <c r="C161" s="66"/>
      <c r="D161" s="67">
        <v>150</v>
      </c>
      <c r="E161" s="69"/>
      <c r="F161" s="103" t="str">
        <f>HYPERLINK("https://yt3.ggpht.com/ytc/AKedOLRRrY-zyb4hKcMKhrX-BjSJzXmIf6PYsTOM7OJ3=s88-c-k-c0x00ffffff-no-rj")</f>
        <v>https://yt3.ggpht.com/ytc/AKedOLRRrY-zyb4hKcMKhrX-BjSJzXmIf6PYsTOM7OJ3=s88-c-k-c0x00ffffff-no-rj</v>
      </c>
      <c r="G161" s="66"/>
      <c r="H161" s="70" t="s">
        <v>991</v>
      </c>
      <c r="I161" s="71"/>
      <c r="J161" s="71" t="s">
        <v>159</v>
      </c>
      <c r="K161" s="70" t="s">
        <v>991</v>
      </c>
      <c r="L161" s="74">
        <v>1</v>
      </c>
      <c r="M161" s="75">
        <v>3006.900634765625</v>
      </c>
      <c r="N161" s="75">
        <v>5724.373046875</v>
      </c>
      <c r="O161" s="76"/>
      <c r="P161" s="77"/>
      <c r="Q161" s="77"/>
      <c r="R161" s="89"/>
      <c r="S161" s="49">
        <v>0</v>
      </c>
      <c r="T161" s="49">
        <v>1</v>
      </c>
      <c r="U161" s="50">
        <v>0</v>
      </c>
      <c r="V161" s="50">
        <v>0.189881</v>
      </c>
      <c r="W161" s="50">
        <v>0.080745</v>
      </c>
      <c r="X161" s="50">
        <v>0.003874</v>
      </c>
      <c r="Y161" s="50">
        <v>0</v>
      </c>
      <c r="Z161" s="50">
        <v>0</v>
      </c>
      <c r="AA161" s="72">
        <v>161</v>
      </c>
      <c r="AB161" s="72"/>
      <c r="AC161" s="73"/>
      <c r="AD161" s="80" t="s">
        <v>991</v>
      </c>
      <c r="AE161" s="80"/>
      <c r="AF161" s="80"/>
      <c r="AG161" s="80"/>
      <c r="AH161" s="80"/>
      <c r="AI161" s="80"/>
      <c r="AJ161" s="87">
        <v>42705.261828703704</v>
      </c>
      <c r="AK161" s="85" t="str">
        <f>HYPERLINK("https://yt3.ggpht.com/ytc/AKedOLRRrY-zyb4hKcMKhrX-BjSJzXmIf6PYsTOM7OJ3=s88-c-k-c0x00ffffff-no-rj")</f>
        <v>https://yt3.ggpht.com/ytc/AKedOLRRrY-zyb4hKcMKhrX-BjSJzXmIf6PYsTOM7OJ3=s88-c-k-c0x00ffffff-no-rj</v>
      </c>
      <c r="AL161" s="80">
        <v>193</v>
      </c>
      <c r="AM161" s="80">
        <v>0</v>
      </c>
      <c r="AN161" s="80">
        <v>6</v>
      </c>
      <c r="AO161" s="80" t="b">
        <v>0</v>
      </c>
      <c r="AP161" s="80">
        <v>15</v>
      </c>
      <c r="AQ161" s="80"/>
      <c r="AR161" s="80"/>
      <c r="AS161" s="80" t="s">
        <v>1376</v>
      </c>
      <c r="AT161" s="85" t="str">
        <f>HYPERLINK("https://www.youtube.com/channel/UCOXSSL56qhApdeIzp6y6b2A")</f>
        <v>https://www.youtube.com/channel/UCOXSSL56qhApdeIzp6y6b2A</v>
      </c>
      <c r="AU161" s="80" t="str">
        <f>REPLACE(INDEX(GroupVertices[Group],MATCH(Vertices[[#This Row],[Vertex]],GroupVertices[Vertex],0)),1,1,"")</f>
        <v>1</v>
      </c>
      <c r="AV161" s="49">
        <v>1</v>
      </c>
      <c r="AW161" s="50">
        <v>100</v>
      </c>
      <c r="AX161" s="49">
        <v>0</v>
      </c>
      <c r="AY161" s="50">
        <v>0</v>
      </c>
      <c r="AZ161" s="49">
        <v>0</v>
      </c>
      <c r="BA161" s="50">
        <v>0</v>
      </c>
      <c r="BB161" s="49">
        <v>0</v>
      </c>
      <c r="BC161" s="50">
        <v>0</v>
      </c>
      <c r="BD161" s="49">
        <v>1</v>
      </c>
      <c r="BE161" s="49"/>
      <c r="BF161" s="49"/>
      <c r="BG161" s="49"/>
      <c r="BH161" s="49"/>
      <c r="BI161" s="49"/>
      <c r="BJ161" s="49"/>
      <c r="BK161" s="111" t="s">
        <v>1883</v>
      </c>
      <c r="BL161" s="111" t="s">
        <v>1883</v>
      </c>
      <c r="BM161" s="111" t="s">
        <v>1239</v>
      </c>
      <c r="BN161" s="111" t="s">
        <v>1239</v>
      </c>
      <c r="BO161" s="2"/>
      <c r="BP161" s="3"/>
      <c r="BQ161" s="3"/>
      <c r="BR161" s="3"/>
      <c r="BS161" s="3"/>
    </row>
    <row r="162" spans="1:71" ht="15">
      <c r="A162" s="65" t="s">
        <v>479</v>
      </c>
      <c r="B162" s="66"/>
      <c r="C162" s="66"/>
      <c r="D162" s="67">
        <v>150</v>
      </c>
      <c r="E162" s="69"/>
      <c r="F162" s="103" t="str">
        <f>HYPERLINK("https://yt3.ggpht.com/ytc/AKedOLR9q3Zk2Kcb_p7MsJ0HqMW0DMjWQDV1LWJjaK2D=s88-c-k-c0x00ffffff-no-rj")</f>
        <v>https://yt3.ggpht.com/ytc/AKedOLR9q3Zk2Kcb_p7MsJ0HqMW0DMjWQDV1LWJjaK2D=s88-c-k-c0x00ffffff-no-rj</v>
      </c>
      <c r="G162" s="66"/>
      <c r="H162" s="70" t="s">
        <v>992</v>
      </c>
      <c r="I162" s="71"/>
      <c r="J162" s="71" t="s">
        <v>159</v>
      </c>
      <c r="K162" s="70" t="s">
        <v>992</v>
      </c>
      <c r="L162" s="74">
        <v>1</v>
      </c>
      <c r="M162" s="75">
        <v>989.7056884765625</v>
      </c>
      <c r="N162" s="75">
        <v>7206.01123046875</v>
      </c>
      <c r="O162" s="76"/>
      <c r="P162" s="77"/>
      <c r="Q162" s="77"/>
      <c r="R162" s="89"/>
      <c r="S162" s="49">
        <v>1</v>
      </c>
      <c r="T162" s="49">
        <v>1</v>
      </c>
      <c r="U162" s="50">
        <v>0</v>
      </c>
      <c r="V162" s="50">
        <v>0.189881</v>
      </c>
      <c r="W162" s="50">
        <v>0.080745</v>
      </c>
      <c r="X162" s="50">
        <v>0.003874</v>
      </c>
      <c r="Y162" s="50">
        <v>0</v>
      </c>
      <c r="Z162" s="50">
        <v>1</v>
      </c>
      <c r="AA162" s="72">
        <v>162</v>
      </c>
      <c r="AB162" s="72"/>
      <c r="AC162" s="73"/>
      <c r="AD162" s="80" t="s">
        <v>992</v>
      </c>
      <c r="AE162" s="80"/>
      <c r="AF162" s="80"/>
      <c r="AG162" s="80"/>
      <c r="AH162" s="80"/>
      <c r="AI162" s="80"/>
      <c r="AJ162" s="87">
        <v>42782.91491898148</v>
      </c>
      <c r="AK162" s="85" t="str">
        <f>HYPERLINK("https://yt3.ggpht.com/ytc/AKedOLR9q3Zk2Kcb_p7MsJ0HqMW0DMjWQDV1LWJjaK2D=s88-c-k-c0x00ffffff-no-rj")</f>
        <v>https://yt3.ggpht.com/ytc/AKedOLR9q3Zk2Kcb_p7MsJ0HqMW0DMjWQDV1LWJjaK2D=s88-c-k-c0x00ffffff-no-rj</v>
      </c>
      <c r="AL162" s="80">
        <v>0</v>
      </c>
      <c r="AM162" s="80">
        <v>0</v>
      </c>
      <c r="AN162" s="80">
        <v>1</v>
      </c>
      <c r="AO162" s="80" t="b">
        <v>0</v>
      </c>
      <c r="AP162" s="80">
        <v>0</v>
      </c>
      <c r="AQ162" s="80"/>
      <c r="AR162" s="80"/>
      <c r="AS162" s="80" t="s">
        <v>1376</v>
      </c>
      <c r="AT162" s="85" t="str">
        <f>HYPERLINK("https://www.youtube.com/channel/UCylMH4anH1qZ3BI7zKmRE7Q")</f>
        <v>https://www.youtube.com/channel/UCylMH4anH1qZ3BI7zKmRE7Q</v>
      </c>
      <c r="AU162" s="80" t="str">
        <f>REPLACE(INDEX(GroupVertices[Group],MATCH(Vertices[[#This Row],[Vertex]],GroupVertices[Vertex],0)),1,1,"")</f>
        <v>1</v>
      </c>
      <c r="AV162" s="49">
        <v>2</v>
      </c>
      <c r="AW162" s="50">
        <v>10.526315789473685</v>
      </c>
      <c r="AX162" s="49">
        <v>0</v>
      </c>
      <c r="AY162" s="50">
        <v>0</v>
      </c>
      <c r="AZ162" s="49">
        <v>0</v>
      </c>
      <c r="BA162" s="50">
        <v>0</v>
      </c>
      <c r="BB162" s="49">
        <v>17</v>
      </c>
      <c r="BC162" s="50">
        <v>89.47368421052632</v>
      </c>
      <c r="BD162" s="49">
        <v>19</v>
      </c>
      <c r="BE162" s="49"/>
      <c r="BF162" s="49"/>
      <c r="BG162" s="49"/>
      <c r="BH162" s="49"/>
      <c r="BI162" s="49"/>
      <c r="BJ162" s="49"/>
      <c r="BK162" s="111" t="s">
        <v>2482</v>
      </c>
      <c r="BL162" s="111" t="s">
        <v>2482</v>
      </c>
      <c r="BM162" s="111" t="s">
        <v>2670</v>
      </c>
      <c r="BN162" s="111" t="s">
        <v>2670</v>
      </c>
      <c r="BO162" s="2"/>
      <c r="BP162" s="3"/>
      <c r="BQ162" s="3"/>
      <c r="BR162" s="3"/>
      <c r="BS162" s="3"/>
    </row>
    <row r="163" spans="1:71" ht="15">
      <c r="A163" s="65" t="s">
        <v>480</v>
      </c>
      <c r="B163" s="66"/>
      <c r="C163" s="66"/>
      <c r="D163" s="67">
        <v>150</v>
      </c>
      <c r="E163" s="69"/>
      <c r="F163" s="103" t="str">
        <f>HYPERLINK("https://yt3.ggpht.com/ytc/AKedOLS5TSkIOi_zouGvKJ9ku_qyEQ5DVvIItGCk1SUIVPU=s88-c-k-c0x00ffffff-no-rj")</f>
        <v>https://yt3.ggpht.com/ytc/AKedOLS5TSkIOi_zouGvKJ9ku_qyEQ5DVvIItGCk1SUIVPU=s88-c-k-c0x00ffffff-no-rj</v>
      </c>
      <c r="G163" s="66"/>
      <c r="H163" s="70" t="s">
        <v>993</v>
      </c>
      <c r="I163" s="71"/>
      <c r="J163" s="71" t="s">
        <v>159</v>
      </c>
      <c r="K163" s="70" t="s">
        <v>993</v>
      </c>
      <c r="L163" s="74">
        <v>1</v>
      </c>
      <c r="M163" s="75">
        <v>2903.533447265625</v>
      </c>
      <c r="N163" s="75">
        <v>5105.01708984375</v>
      </c>
      <c r="O163" s="76"/>
      <c r="P163" s="77"/>
      <c r="Q163" s="77"/>
      <c r="R163" s="89"/>
      <c r="S163" s="49">
        <v>0</v>
      </c>
      <c r="T163" s="49">
        <v>1</v>
      </c>
      <c r="U163" s="50">
        <v>0</v>
      </c>
      <c r="V163" s="50">
        <v>0.189881</v>
      </c>
      <c r="W163" s="50">
        <v>0.080745</v>
      </c>
      <c r="X163" s="50">
        <v>0.003874</v>
      </c>
      <c r="Y163" s="50">
        <v>0</v>
      </c>
      <c r="Z163" s="50">
        <v>0</v>
      </c>
      <c r="AA163" s="72">
        <v>163</v>
      </c>
      <c r="AB163" s="72"/>
      <c r="AC163" s="73"/>
      <c r="AD163" s="80" t="s">
        <v>993</v>
      </c>
      <c r="AE163" s="80" t="s">
        <v>1322</v>
      </c>
      <c r="AF163" s="80"/>
      <c r="AG163" s="80"/>
      <c r="AH163" s="80"/>
      <c r="AI163" s="80" t="s">
        <v>1360</v>
      </c>
      <c r="AJ163" s="87">
        <v>41304.04542824074</v>
      </c>
      <c r="AK163" s="85" t="str">
        <f>HYPERLINK("https://yt3.ggpht.com/ytc/AKedOLS5TSkIOi_zouGvKJ9ku_qyEQ5DVvIItGCk1SUIVPU=s88-c-k-c0x00ffffff-no-rj")</f>
        <v>https://yt3.ggpht.com/ytc/AKedOLS5TSkIOi_zouGvKJ9ku_qyEQ5DVvIItGCk1SUIVPU=s88-c-k-c0x00ffffff-no-rj</v>
      </c>
      <c r="AL163" s="80">
        <v>148183</v>
      </c>
      <c r="AM163" s="80">
        <v>0</v>
      </c>
      <c r="AN163" s="80">
        <v>590</v>
      </c>
      <c r="AO163" s="80" t="b">
        <v>0</v>
      </c>
      <c r="AP163" s="80">
        <v>79</v>
      </c>
      <c r="AQ163" s="80"/>
      <c r="AR163" s="80"/>
      <c r="AS163" s="80" t="s">
        <v>1376</v>
      </c>
      <c r="AT163" s="85" t="str">
        <f>HYPERLINK("https://www.youtube.com/channel/UCngfwdBt4V8gv-d14tu20HQ")</f>
        <v>https://www.youtube.com/channel/UCngfwdBt4V8gv-d14tu20HQ</v>
      </c>
      <c r="AU163" s="80" t="str">
        <f>REPLACE(INDEX(GroupVertices[Group],MATCH(Vertices[[#This Row],[Vertex]],GroupVertices[Vertex],0)),1,1,"")</f>
        <v>1</v>
      </c>
      <c r="AV163" s="49">
        <v>1</v>
      </c>
      <c r="AW163" s="50">
        <v>33.333333333333336</v>
      </c>
      <c r="AX163" s="49">
        <v>0</v>
      </c>
      <c r="AY163" s="50">
        <v>0</v>
      </c>
      <c r="AZ163" s="49">
        <v>0</v>
      </c>
      <c r="BA163" s="50">
        <v>0</v>
      </c>
      <c r="BB163" s="49">
        <v>2</v>
      </c>
      <c r="BC163" s="50">
        <v>66.66666666666667</v>
      </c>
      <c r="BD163" s="49">
        <v>3</v>
      </c>
      <c r="BE163" s="49"/>
      <c r="BF163" s="49"/>
      <c r="BG163" s="49"/>
      <c r="BH163" s="49"/>
      <c r="BI163" s="49"/>
      <c r="BJ163" s="49"/>
      <c r="BK163" s="111" t="s">
        <v>1676</v>
      </c>
      <c r="BL163" s="111" t="s">
        <v>1676</v>
      </c>
      <c r="BM163" s="111" t="s">
        <v>1239</v>
      </c>
      <c r="BN163" s="111" t="s">
        <v>1239</v>
      </c>
      <c r="BO163" s="2"/>
      <c r="BP163" s="3"/>
      <c r="BQ163" s="3"/>
      <c r="BR163" s="3"/>
      <c r="BS163" s="3"/>
    </row>
    <row r="164" spans="1:71" ht="15">
      <c r="A164" s="65" t="s">
        <v>481</v>
      </c>
      <c r="B164" s="66"/>
      <c r="C164" s="66"/>
      <c r="D164" s="67">
        <v>150</v>
      </c>
      <c r="E164" s="69"/>
      <c r="F164" s="103" t="str">
        <f>HYPERLINK("https://yt3.ggpht.com/ZMBgQF8yzydCrOR4QjRJ5zaCZWFKmNkTDH0jkRdIyOHshOXJyKvic2_WzMxcVbmttX8b3nlS=s88-c-k-c0x00ffffff-no-rj")</f>
        <v>https://yt3.ggpht.com/ZMBgQF8yzydCrOR4QjRJ5zaCZWFKmNkTDH0jkRdIyOHshOXJyKvic2_WzMxcVbmttX8b3nlS=s88-c-k-c0x00ffffff-no-rj</v>
      </c>
      <c r="G164" s="66"/>
      <c r="H164" s="70" t="s">
        <v>994</v>
      </c>
      <c r="I164" s="71"/>
      <c r="J164" s="71" t="s">
        <v>159</v>
      </c>
      <c r="K164" s="70" t="s">
        <v>994</v>
      </c>
      <c r="L164" s="74">
        <v>1</v>
      </c>
      <c r="M164" s="75">
        <v>1467.081787109375</v>
      </c>
      <c r="N164" s="75">
        <v>5746.53173828125</v>
      </c>
      <c r="O164" s="76"/>
      <c r="P164" s="77"/>
      <c r="Q164" s="77"/>
      <c r="R164" s="89"/>
      <c r="S164" s="49">
        <v>0</v>
      </c>
      <c r="T164" s="49">
        <v>1</v>
      </c>
      <c r="U164" s="50">
        <v>0</v>
      </c>
      <c r="V164" s="50">
        <v>0.189881</v>
      </c>
      <c r="W164" s="50">
        <v>0.080745</v>
      </c>
      <c r="X164" s="50">
        <v>0.003874</v>
      </c>
      <c r="Y164" s="50">
        <v>0</v>
      </c>
      <c r="Z164" s="50">
        <v>0</v>
      </c>
      <c r="AA164" s="72">
        <v>164</v>
      </c>
      <c r="AB164" s="72"/>
      <c r="AC164" s="73"/>
      <c r="AD164" s="80" t="s">
        <v>994</v>
      </c>
      <c r="AE164" s="80"/>
      <c r="AF164" s="80"/>
      <c r="AG164" s="80"/>
      <c r="AH164" s="80"/>
      <c r="AI164" s="80"/>
      <c r="AJ164" s="87">
        <v>44700.50103009259</v>
      </c>
      <c r="AK164" s="85" t="str">
        <f>HYPERLINK("https://yt3.ggpht.com/ZMBgQF8yzydCrOR4QjRJ5zaCZWFKmNkTDH0jkRdIyOHshOXJyKvic2_WzMxcVbmttX8b3nlS=s88-c-k-c0x00ffffff-no-rj")</f>
        <v>https://yt3.ggpht.com/ZMBgQF8yzydCrOR4QjRJ5zaCZWFKmNkTDH0jkRdIyOHshOXJyKvic2_WzMxcVbmttX8b3nlS=s88-c-k-c0x00ffffff-no-rj</v>
      </c>
      <c r="AL164" s="80">
        <v>0</v>
      </c>
      <c r="AM164" s="80">
        <v>0</v>
      </c>
      <c r="AN164" s="80">
        <v>0</v>
      </c>
      <c r="AO164" s="80" t="b">
        <v>0</v>
      </c>
      <c r="AP164" s="80">
        <v>0</v>
      </c>
      <c r="AQ164" s="80"/>
      <c r="AR164" s="80"/>
      <c r="AS164" s="80" t="s">
        <v>1376</v>
      </c>
      <c r="AT164" s="85" t="str">
        <f>HYPERLINK("https://www.youtube.com/channel/UCCwa-poBFGXBJL1OhOSf1wQ")</f>
        <v>https://www.youtube.com/channel/UCCwa-poBFGXBJL1OhOSf1wQ</v>
      </c>
      <c r="AU164" s="80" t="str">
        <f>REPLACE(INDEX(GroupVertices[Group],MATCH(Vertices[[#This Row],[Vertex]],GroupVertices[Vertex],0)),1,1,"")</f>
        <v>1</v>
      </c>
      <c r="AV164" s="49">
        <v>0</v>
      </c>
      <c r="AW164" s="50">
        <v>0</v>
      </c>
      <c r="AX164" s="49">
        <v>0</v>
      </c>
      <c r="AY164" s="50">
        <v>0</v>
      </c>
      <c r="AZ164" s="49">
        <v>0</v>
      </c>
      <c r="BA164" s="50">
        <v>0</v>
      </c>
      <c r="BB164" s="49">
        <v>10</v>
      </c>
      <c r="BC164" s="50">
        <v>100</v>
      </c>
      <c r="BD164" s="49">
        <v>10</v>
      </c>
      <c r="BE164" s="49"/>
      <c r="BF164" s="49"/>
      <c r="BG164" s="49"/>
      <c r="BH164" s="49"/>
      <c r="BI164" s="49"/>
      <c r="BJ164" s="49"/>
      <c r="BK164" s="111" t="s">
        <v>2483</v>
      </c>
      <c r="BL164" s="111" t="s">
        <v>2483</v>
      </c>
      <c r="BM164" s="111" t="s">
        <v>2671</v>
      </c>
      <c r="BN164" s="111" t="s">
        <v>2671</v>
      </c>
      <c r="BO164" s="2"/>
      <c r="BP164" s="3"/>
      <c r="BQ164" s="3"/>
      <c r="BR164" s="3"/>
      <c r="BS164" s="3"/>
    </row>
    <row r="165" spans="1:71" ht="15">
      <c r="A165" s="65" t="s">
        <v>482</v>
      </c>
      <c r="B165" s="66"/>
      <c r="C165" s="66"/>
      <c r="D165" s="67">
        <v>150</v>
      </c>
      <c r="E165" s="69"/>
      <c r="F165" s="103" t="str">
        <f>HYPERLINK("https://yt3.ggpht.com/ytc/AKedOLT1475nz9d53gROyuALqz5jQvfWCLF6d-G_L02zuQ=s88-c-k-c0x00ffffff-no-rj")</f>
        <v>https://yt3.ggpht.com/ytc/AKedOLT1475nz9d53gROyuALqz5jQvfWCLF6d-G_L02zuQ=s88-c-k-c0x00ffffff-no-rj</v>
      </c>
      <c r="G165" s="66"/>
      <c r="H165" s="70" t="s">
        <v>995</v>
      </c>
      <c r="I165" s="71"/>
      <c r="J165" s="71" t="s">
        <v>159</v>
      </c>
      <c r="K165" s="70" t="s">
        <v>995</v>
      </c>
      <c r="L165" s="74">
        <v>1</v>
      </c>
      <c r="M165" s="75">
        <v>1566.1748046875</v>
      </c>
      <c r="N165" s="75">
        <v>6956.4140625</v>
      </c>
      <c r="O165" s="76"/>
      <c r="P165" s="77"/>
      <c r="Q165" s="77"/>
      <c r="R165" s="89"/>
      <c r="S165" s="49">
        <v>0</v>
      </c>
      <c r="T165" s="49">
        <v>1</v>
      </c>
      <c r="U165" s="50">
        <v>0</v>
      </c>
      <c r="V165" s="50">
        <v>0.189881</v>
      </c>
      <c r="W165" s="50">
        <v>0.080745</v>
      </c>
      <c r="X165" s="50">
        <v>0.003874</v>
      </c>
      <c r="Y165" s="50">
        <v>0</v>
      </c>
      <c r="Z165" s="50">
        <v>0</v>
      </c>
      <c r="AA165" s="72">
        <v>165</v>
      </c>
      <c r="AB165" s="72"/>
      <c r="AC165" s="73"/>
      <c r="AD165" s="80" t="s">
        <v>995</v>
      </c>
      <c r="AE165" s="80"/>
      <c r="AF165" s="80"/>
      <c r="AG165" s="80"/>
      <c r="AH165" s="80"/>
      <c r="AI165" s="80"/>
      <c r="AJ165" s="87">
        <v>40793.831342592595</v>
      </c>
      <c r="AK165" s="85" t="str">
        <f>HYPERLINK("https://yt3.ggpht.com/ytc/AKedOLT1475nz9d53gROyuALqz5jQvfWCLF6d-G_L02zuQ=s88-c-k-c0x00ffffff-no-rj")</f>
        <v>https://yt3.ggpht.com/ytc/AKedOLT1475nz9d53gROyuALqz5jQvfWCLF6d-G_L02zuQ=s88-c-k-c0x00ffffff-no-rj</v>
      </c>
      <c r="AL165" s="80">
        <v>0</v>
      </c>
      <c r="AM165" s="80">
        <v>0</v>
      </c>
      <c r="AN165" s="80">
        <v>0</v>
      </c>
      <c r="AO165" s="80" t="b">
        <v>0</v>
      </c>
      <c r="AP165" s="80">
        <v>0</v>
      </c>
      <c r="AQ165" s="80"/>
      <c r="AR165" s="80"/>
      <c r="AS165" s="80" t="s">
        <v>1376</v>
      </c>
      <c r="AT165" s="85" t="str">
        <f>HYPERLINK("https://www.youtube.com/channel/UClPlgNc4dpa-ymND_dWE-9w")</f>
        <v>https://www.youtube.com/channel/UClPlgNc4dpa-ymND_dWE-9w</v>
      </c>
      <c r="AU165" s="80" t="str">
        <f>REPLACE(INDEX(GroupVertices[Group],MATCH(Vertices[[#This Row],[Vertex]],GroupVertices[Vertex],0)),1,1,"")</f>
        <v>1</v>
      </c>
      <c r="AV165" s="49">
        <v>6</v>
      </c>
      <c r="AW165" s="50">
        <v>7.792207792207792</v>
      </c>
      <c r="AX165" s="49">
        <v>0</v>
      </c>
      <c r="AY165" s="50">
        <v>0</v>
      </c>
      <c r="AZ165" s="49">
        <v>0</v>
      </c>
      <c r="BA165" s="50">
        <v>0</v>
      </c>
      <c r="BB165" s="49">
        <v>71</v>
      </c>
      <c r="BC165" s="50">
        <v>92.20779220779221</v>
      </c>
      <c r="BD165" s="49">
        <v>77</v>
      </c>
      <c r="BE165" s="49"/>
      <c r="BF165" s="49"/>
      <c r="BG165" s="49"/>
      <c r="BH165" s="49"/>
      <c r="BI165" s="49"/>
      <c r="BJ165" s="49"/>
      <c r="BK165" s="111" t="s">
        <v>2484</v>
      </c>
      <c r="BL165" s="111" t="s">
        <v>2484</v>
      </c>
      <c r="BM165" s="111" t="s">
        <v>2672</v>
      </c>
      <c r="BN165" s="111" t="s">
        <v>2672</v>
      </c>
      <c r="BO165" s="2"/>
      <c r="BP165" s="3"/>
      <c r="BQ165" s="3"/>
      <c r="BR165" s="3"/>
      <c r="BS165" s="3"/>
    </row>
    <row r="166" spans="1:71" ht="15">
      <c r="A166" s="65" t="s">
        <v>483</v>
      </c>
      <c r="B166" s="66"/>
      <c r="C166" s="66"/>
      <c r="D166" s="67">
        <v>228.4323113505747</v>
      </c>
      <c r="E166" s="69"/>
      <c r="F166" s="103" t="str">
        <f>HYPERLINK("https://yt3.ggpht.com/ytc/AKedOLSwERRejGrixEqdrWi8ugfTUGh_MJ-4YQXpUw=s88-c-k-c0x00ffffff-no-rj")</f>
        <v>https://yt3.ggpht.com/ytc/AKedOLSwERRejGrixEqdrWi8ugfTUGh_MJ-4YQXpUw=s88-c-k-c0x00ffffff-no-rj</v>
      </c>
      <c r="G166" s="66"/>
      <c r="H166" s="70" t="s">
        <v>996</v>
      </c>
      <c r="I166" s="71"/>
      <c r="J166" s="71" t="s">
        <v>75</v>
      </c>
      <c r="K166" s="70" t="s">
        <v>996</v>
      </c>
      <c r="L166" s="74">
        <v>70.46978397385418</v>
      </c>
      <c r="M166" s="75">
        <v>5965.43310546875</v>
      </c>
      <c r="N166" s="75">
        <v>9798.65234375</v>
      </c>
      <c r="O166" s="76"/>
      <c r="P166" s="77"/>
      <c r="Q166" s="77"/>
      <c r="R166" s="89"/>
      <c r="S166" s="49">
        <v>1</v>
      </c>
      <c r="T166" s="49">
        <v>2</v>
      </c>
      <c r="U166" s="50">
        <v>96.333333</v>
      </c>
      <c r="V166" s="50">
        <v>0.190852</v>
      </c>
      <c r="W166" s="50">
        <v>0.083174</v>
      </c>
      <c r="X166" s="50">
        <v>0.004101</v>
      </c>
      <c r="Y166" s="50">
        <v>0</v>
      </c>
      <c r="Z166" s="50">
        <v>0.5</v>
      </c>
      <c r="AA166" s="72">
        <v>166</v>
      </c>
      <c r="AB166" s="72"/>
      <c r="AC166" s="73"/>
      <c r="AD166" s="80" t="s">
        <v>996</v>
      </c>
      <c r="AE166" s="80"/>
      <c r="AF166" s="80"/>
      <c r="AG166" s="80"/>
      <c r="AH166" s="80"/>
      <c r="AI166" s="80"/>
      <c r="AJ166" s="87">
        <v>41727.635150462964</v>
      </c>
      <c r="AK166" s="85" t="str">
        <f>HYPERLINK("https://yt3.ggpht.com/ytc/AKedOLSwERRejGrixEqdrWi8ugfTUGh_MJ-4YQXpUw=s88-c-k-c0x00ffffff-no-rj")</f>
        <v>https://yt3.ggpht.com/ytc/AKedOLSwERRejGrixEqdrWi8ugfTUGh_MJ-4YQXpUw=s88-c-k-c0x00ffffff-no-rj</v>
      </c>
      <c r="AL166" s="80">
        <v>0</v>
      </c>
      <c r="AM166" s="80">
        <v>0</v>
      </c>
      <c r="AN166" s="80">
        <v>0</v>
      </c>
      <c r="AO166" s="80" t="b">
        <v>0</v>
      </c>
      <c r="AP166" s="80">
        <v>0</v>
      </c>
      <c r="AQ166" s="80"/>
      <c r="AR166" s="80"/>
      <c r="AS166" s="80" t="s">
        <v>1376</v>
      </c>
      <c r="AT166" s="85" t="str">
        <f>HYPERLINK("https://www.youtube.com/channel/UC7V-eKD4-9qacoIOSfjCkvQ")</f>
        <v>https://www.youtube.com/channel/UC7V-eKD4-9qacoIOSfjCkvQ</v>
      </c>
      <c r="AU166" s="80" t="str">
        <f>REPLACE(INDEX(GroupVertices[Group],MATCH(Vertices[[#This Row],[Vertex]],GroupVertices[Vertex],0)),1,1,"")</f>
        <v>3</v>
      </c>
      <c r="AV166" s="49">
        <v>5</v>
      </c>
      <c r="AW166" s="50">
        <v>1.8315018315018314</v>
      </c>
      <c r="AX166" s="49">
        <v>3</v>
      </c>
      <c r="AY166" s="50">
        <v>1.098901098901099</v>
      </c>
      <c r="AZ166" s="49">
        <v>0</v>
      </c>
      <c r="BA166" s="50">
        <v>0</v>
      </c>
      <c r="BB166" s="49">
        <v>265</v>
      </c>
      <c r="BC166" s="50">
        <v>97.06959706959707</v>
      </c>
      <c r="BD166" s="49">
        <v>273</v>
      </c>
      <c r="BE166" s="49" t="s">
        <v>2338</v>
      </c>
      <c r="BF166" s="49" t="s">
        <v>2343</v>
      </c>
      <c r="BG166" s="49" t="s">
        <v>1221</v>
      </c>
      <c r="BH166" s="49" t="s">
        <v>1221</v>
      </c>
      <c r="BI166" s="49"/>
      <c r="BJ166" s="49"/>
      <c r="BK166" s="111" t="s">
        <v>2485</v>
      </c>
      <c r="BL166" s="111" t="s">
        <v>2537</v>
      </c>
      <c r="BM166" s="111" t="s">
        <v>2673</v>
      </c>
      <c r="BN166" s="111" t="s">
        <v>2716</v>
      </c>
      <c r="BO166" s="2"/>
      <c r="BP166" s="3"/>
      <c r="BQ166" s="3"/>
      <c r="BR166" s="3"/>
      <c r="BS166" s="3"/>
    </row>
    <row r="167" spans="1:71" ht="15">
      <c r="A167" s="65" t="s">
        <v>553</v>
      </c>
      <c r="B167" s="66"/>
      <c r="C167" s="66"/>
      <c r="D167" s="67">
        <v>162.6197318007663</v>
      </c>
      <c r="E167" s="69"/>
      <c r="F167" s="103" t="str">
        <f>HYPERLINK("https://yt3.ggpht.com/O0yqWZ2YBR9Lp8DLmppD2kMSCp3n37p6NbTK0nOAKBFyNXJ_rjj7PuWuj8ntJ9vnoNM_bye7=s88-c-k-c0x00ffffff-no-rj")</f>
        <v>https://yt3.ggpht.com/O0yqWZ2YBR9Lp8DLmppD2kMSCp3n37p6NbTK0nOAKBFyNXJ_rjj7PuWuj8ntJ9vnoNM_bye7=s88-c-k-c0x00ffffff-no-rj</v>
      </c>
      <c r="G167" s="66"/>
      <c r="H167" s="70" t="s">
        <v>1270</v>
      </c>
      <c r="I167" s="71"/>
      <c r="J167" s="71" t="s">
        <v>75</v>
      </c>
      <c r="K167" s="70" t="s">
        <v>1270</v>
      </c>
      <c r="L167" s="74">
        <v>12.177664242082644</v>
      </c>
      <c r="M167" s="75">
        <v>6391.47509765625</v>
      </c>
      <c r="N167" s="75">
        <v>9353.8935546875</v>
      </c>
      <c r="O167" s="76"/>
      <c r="P167" s="77"/>
      <c r="Q167" s="77"/>
      <c r="R167" s="89"/>
      <c r="S167" s="49">
        <v>3</v>
      </c>
      <c r="T167" s="49">
        <v>1</v>
      </c>
      <c r="U167" s="50">
        <v>15.5</v>
      </c>
      <c r="V167" s="50">
        <v>0.162933</v>
      </c>
      <c r="W167" s="50">
        <v>0.021632</v>
      </c>
      <c r="X167" s="50">
        <v>0.004539</v>
      </c>
      <c r="Y167" s="50">
        <v>0</v>
      </c>
      <c r="Z167" s="50">
        <v>0</v>
      </c>
      <c r="AA167" s="72">
        <v>167</v>
      </c>
      <c r="AB167" s="72"/>
      <c r="AC167" s="73"/>
      <c r="AD167" s="80" t="s">
        <v>1270</v>
      </c>
      <c r="AE167" s="80" t="s">
        <v>1323</v>
      </c>
      <c r="AF167" s="80"/>
      <c r="AG167" s="80"/>
      <c r="AH167" s="80"/>
      <c r="AI167" s="80" t="s">
        <v>1361</v>
      </c>
      <c r="AJ167" s="87">
        <v>40875.27376157408</v>
      </c>
      <c r="AK167" s="85" t="str">
        <f>HYPERLINK("https://yt3.ggpht.com/O0yqWZ2YBR9Lp8DLmppD2kMSCp3n37p6NbTK0nOAKBFyNXJ_rjj7PuWuj8ntJ9vnoNM_bye7=s88-c-k-c0x00ffffff-no-rj")</f>
        <v>https://yt3.ggpht.com/O0yqWZ2YBR9Lp8DLmppD2kMSCp3n37p6NbTK0nOAKBFyNXJ_rjj7PuWuj8ntJ9vnoNM_bye7=s88-c-k-c0x00ffffff-no-rj</v>
      </c>
      <c r="AL167" s="80">
        <v>285664</v>
      </c>
      <c r="AM167" s="80">
        <v>0</v>
      </c>
      <c r="AN167" s="80">
        <v>1100</v>
      </c>
      <c r="AO167" s="80" t="b">
        <v>0</v>
      </c>
      <c r="AP167" s="80">
        <v>78</v>
      </c>
      <c r="AQ167" s="80"/>
      <c r="AR167" s="80"/>
      <c r="AS167" s="80" t="s">
        <v>1376</v>
      </c>
      <c r="AT167" s="85" t="str">
        <f>HYPERLINK("https://www.youtube.com/channel/UCewxu9BEC64CfQVzR6vd3cA")</f>
        <v>https://www.youtube.com/channel/UCewxu9BEC64CfQVzR6vd3cA</v>
      </c>
      <c r="AU167" s="80" t="str">
        <f>REPLACE(INDEX(GroupVertices[Group],MATCH(Vertices[[#This Row],[Vertex]],GroupVertices[Vertex],0)),1,1,"")</f>
        <v>3</v>
      </c>
      <c r="AV167" s="49"/>
      <c r="AW167" s="50"/>
      <c r="AX167" s="49"/>
      <c r="AY167" s="50"/>
      <c r="AZ167" s="49"/>
      <c r="BA167" s="50"/>
      <c r="BB167" s="49"/>
      <c r="BC167" s="50"/>
      <c r="BD167" s="49"/>
      <c r="BE167" s="49"/>
      <c r="BF167" s="49"/>
      <c r="BG167" s="49"/>
      <c r="BH167" s="49"/>
      <c r="BI167" s="49"/>
      <c r="BJ167" s="49"/>
      <c r="BK167" s="111" t="s">
        <v>1239</v>
      </c>
      <c r="BL167" s="111" t="s">
        <v>1239</v>
      </c>
      <c r="BM167" s="111" t="s">
        <v>1239</v>
      </c>
      <c r="BN167" s="111" t="s">
        <v>1239</v>
      </c>
      <c r="BO167" s="2"/>
      <c r="BP167" s="3"/>
      <c r="BQ167" s="3"/>
      <c r="BR167" s="3"/>
      <c r="BS167" s="3"/>
    </row>
    <row r="168" spans="1:71" ht="15">
      <c r="A168" s="65" t="s">
        <v>484</v>
      </c>
      <c r="B168" s="66"/>
      <c r="C168" s="66"/>
      <c r="D168" s="67">
        <v>150</v>
      </c>
      <c r="E168" s="69"/>
      <c r="F168" s="103" t="str">
        <f>HYPERLINK("https://yt3.ggpht.com/ytc/AKedOLRjlmPjRJ6I0Xp9tYv7zbH05DwwKp9nc4oMsvkrrA=s88-c-k-c0x00ffffff-no-rj")</f>
        <v>https://yt3.ggpht.com/ytc/AKedOLRjlmPjRJ6I0Xp9tYv7zbH05DwwKp9nc4oMsvkrrA=s88-c-k-c0x00ffffff-no-rj</v>
      </c>
      <c r="G168" s="66"/>
      <c r="H168" s="70" t="s">
        <v>997</v>
      </c>
      <c r="I168" s="71"/>
      <c r="J168" s="71" t="s">
        <v>159</v>
      </c>
      <c r="K168" s="70" t="s">
        <v>997</v>
      </c>
      <c r="L168" s="74">
        <v>1</v>
      </c>
      <c r="M168" s="75">
        <v>1588.732177734375</v>
      </c>
      <c r="N168" s="75">
        <v>8688.15234375</v>
      </c>
      <c r="O168" s="76"/>
      <c r="P168" s="77"/>
      <c r="Q168" s="77"/>
      <c r="R168" s="89"/>
      <c r="S168" s="49">
        <v>1</v>
      </c>
      <c r="T168" s="49">
        <v>1</v>
      </c>
      <c r="U168" s="50">
        <v>0</v>
      </c>
      <c r="V168" s="50">
        <v>0.189881</v>
      </c>
      <c r="W168" s="50">
        <v>0.080745</v>
      </c>
      <c r="X168" s="50">
        <v>0.003874</v>
      </c>
      <c r="Y168" s="50">
        <v>0</v>
      </c>
      <c r="Z168" s="50">
        <v>1</v>
      </c>
      <c r="AA168" s="72">
        <v>168</v>
      </c>
      <c r="AB168" s="72"/>
      <c r="AC168" s="73"/>
      <c r="AD168" s="80" t="s">
        <v>997</v>
      </c>
      <c r="AE168" s="80"/>
      <c r="AF168" s="80"/>
      <c r="AG168" s="80"/>
      <c r="AH168" s="80"/>
      <c r="AI168" s="80"/>
      <c r="AJ168" s="87">
        <v>40666.82482638889</v>
      </c>
      <c r="AK168" s="85" t="str">
        <f>HYPERLINK("https://yt3.ggpht.com/ytc/AKedOLRjlmPjRJ6I0Xp9tYv7zbH05DwwKp9nc4oMsvkrrA=s88-c-k-c0x00ffffff-no-rj")</f>
        <v>https://yt3.ggpht.com/ytc/AKedOLRjlmPjRJ6I0Xp9tYv7zbH05DwwKp9nc4oMsvkrrA=s88-c-k-c0x00ffffff-no-rj</v>
      </c>
      <c r="AL168" s="80">
        <v>1015</v>
      </c>
      <c r="AM168" s="80">
        <v>0</v>
      </c>
      <c r="AN168" s="80">
        <v>2</v>
      </c>
      <c r="AO168" s="80" t="b">
        <v>0</v>
      </c>
      <c r="AP168" s="80">
        <v>6</v>
      </c>
      <c r="AQ168" s="80"/>
      <c r="AR168" s="80"/>
      <c r="AS168" s="80" t="s">
        <v>1376</v>
      </c>
      <c r="AT168" s="85" t="str">
        <f>HYPERLINK("https://www.youtube.com/channel/UCl_-t3QxGQvNu9-Wp1iGLdQ")</f>
        <v>https://www.youtube.com/channel/UCl_-t3QxGQvNu9-Wp1iGLdQ</v>
      </c>
      <c r="AU168" s="80" t="str">
        <f>REPLACE(INDEX(GroupVertices[Group],MATCH(Vertices[[#This Row],[Vertex]],GroupVertices[Vertex],0)),1,1,"")</f>
        <v>1</v>
      </c>
      <c r="AV168" s="49">
        <v>1</v>
      </c>
      <c r="AW168" s="50">
        <v>2.6315789473684212</v>
      </c>
      <c r="AX168" s="49">
        <v>0</v>
      </c>
      <c r="AY168" s="50">
        <v>0</v>
      </c>
      <c r="AZ168" s="49">
        <v>0</v>
      </c>
      <c r="BA168" s="50">
        <v>0</v>
      </c>
      <c r="BB168" s="49">
        <v>37</v>
      </c>
      <c r="BC168" s="50">
        <v>97.36842105263158</v>
      </c>
      <c r="BD168" s="49">
        <v>38</v>
      </c>
      <c r="BE168" s="49"/>
      <c r="BF168" s="49"/>
      <c r="BG168" s="49"/>
      <c r="BH168" s="49"/>
      <c r="BI168" s="49"/>
      <c r="BJ168" s="49"/>
      <c r="BK168" s="111" t="s">
        <v>2486</v>
      </c>
      <c r="BL168" s="111" t="s">
        <v>2486</v>
      </c>
      <c r="BM168" s="111" t="s">
        <v>2674</v>
      </c>
      <c r="BN168" s="111" t="s">
        <v>2674</v>
      </c>
      <c r="BO168" s="2"/>
      <c r="BP168" s="3"/>
      <c r="BQ168" s="3"/>
      <c r="BR168" s="3"/>
      <c r="BS168" s="3"/>
    </row>
    <row r="169" spans="1:71" ht="15">
      <c r="A169" s="65" t="s">
        <v>485</v>
      </c>
      <c r="B169" s="66"/>
      <c r="C169" s="66"/>
      <c r="D169" s="67">
        <v>150</v>
      </c>
      <c r="E169" s="69"/>
      <c r="F169" s="103" t="str">
        <f>HYPERLINK("https://yt3.ggpht.com/ytc/AKedOLTsRkTCMP-4w5CPBy8JdRud7Vcdixe90QULTw=s88-c-k-c0x00ffffff-no-rj")</f>
        <v>https://yt3.ggpht.com/ytc/AKedOLTsRkTCMP-4w5CPBy8JdRud7Vcdixe90QULTw=s88-c-k-c0x00ffffff-no-rj</v>
      </c>
      <c r="G169" s="66"/>
      <c r="H169" s="70" t="s">
        <v>998</v>
      </c>
      <c r="I169" s="71"/>
      <c r="J169" s="71" t="s">
        <v>159</v>
      </c>
      <c r="K169" s="70" t="s">
        <v>998</v>
      </c>
      <c r="L169" s="74">
        <v>1</v>
      </c>
      <c r="M169" s="75">
        <v>2018.7030029296875</v>
      </c>
      <c r="N169" s="75">
        <v>2865.920166015625</v>
      </c>
      <c r="O169" s="76"/>
      <c r="P169" s="77"/>
      <c r="Q169" s="77"/>
      <c r="R169" s="89"/>
      <c r="S169" s="49">
        <v>0</v>
      </c>
      <c r="T169" s="49">
        <v>1</v>
      </c>
      <c r="U169" s="50">
        <v>0</v>
      </c>
      <c r="V169" s="50">
        <v>0.189881</v>
      </c>
      <c r="W169" s="50">
        <v>0.080745</v>
      </c>
      <c r="X169" s="50">
        <v>0.003874</v>
      </c>
      <c r="Y169" s="50">
        <v>0</v>
      </c>
      <c r="Z169" s="50">
        <v>0</v>
      </c>
      <c r="AA169" s="72">
        <v>169</v>
      </c>
      <c r="AB169" s="72"/>
      <c r="AC169" s="73"/>
      <c r="AD169" s="80" t="s">
        <v>998</v>
      </c>
      <c r="AE169" s="80"/>
      <c r="AF169" s="80"/>
      <c r="AG169" s="80"/>
      <c r="AH169" s="80"/>
      <c r="AI169" s="80"/>
      <c r="AJ169" s="87">
        <v>41549.69011574074</v>
      </c>
      <c r="AK169" s="85" t="str">
        <f>HYPERLINK("https://yt3.ggpht.com/ytc/AKedOLTsRkTCMP-4w5CPBy8JdRud7Vcdixe90QULTw=s88-c-k-c0x00ffffff-no-rj")</f>
        <v>https://yt3.ggpht.com/ytc/AKedOLTsRkTCMP-4w5CPBy8JdRud7Vcdixe90QULTw=s88-c-k-c0x00ffffff-no-rj</v>
      </c>
      <c r="AL169" s="80">
        <v>0</v>
      </c>
      <c r="AM169" s="80">
        <v>0</v>
      </c>
      <c r="AN169" s="80">
        <v>0</v>
      </c>
      <c r="AO169" s="80" t="b">
        <v>0</v>
      </c>
      <c r="AP169" s="80">
        <v>0</v>
      </c>
      <c r="AQ169" s="80"/>
      <c r="AR169" s="80"/>
      <c r="AS169" s="80" t="s">
        <v>1376</v>
      </c>
      <c r="AT169" s="85" t="str">
        <f>HYPERLINK("https://www.youtube.com/channel/UC72mAuOZR5GBLYq7vDITHuw")</f>
        <v>https://www.youtube.com/channel/UC72mAuOZR5GBLYq7vDITHuw</v>
      </c>
      <c r="AU169" s="80" t="str">
        <f>REPLACE(INDEX(GroupVertices[Group],MATCH(Vertices[[#This Row],[Vertex]],GroupVertices[Vertex],0)),1,1,"")</f>
        <v>1</v>
      </c>
      <c r="AV169" s="49">
        <v>4</v>
      </c>
      <c r="AW169" s="50">
        <v>8.16326530612245</v>
      </c>
      <c r="AX169" s="49">
        <v>0</v>
      </c>
      <c r="AY169" s="50">
        <v>0</v>
      </c>
      <c r="AZ169" s="49">
        <v>0</v>
      </c>
      <c r="BA169" s="50">
        <v>0</v>
      </c>
      <c r="BB169" s="49">
        <v>45</v>
      </c>
      <c r="BC169" s="50">
        <v>91.83673469387755</v>
      </c>
      <c r="BD169" s="49">
        <v>49</v>
      </c>
      <c r="BE169" s="49"/>
      <c r="BF169" s="49"/>
      <c r="BG169" s="49"/>
      <c r="BH169" s="49"/>
      <c r="BI169" s="49"/>
      <c r="BJ169" s="49"/>
      <c r="BK169" s="111" t="s">
        <v>2487</v>
      </c>
      <c r="BL169" s="111" t="s">
        <v>2487</v>
      </c>
      <c r="BM169" s="111" t="s">
        <v>2675</v>
      </c>
      <c r="BN169" s="111" t="s">
        <v>2675</v>
      </c>
      <c r="BO169" s="2"/>
      <c r="BP169" s="3"/>
      <c r="BQ169" s="3"/>
      <c r="BR169" s="3"/>
      <c r="BS169" s="3"/>
    </row>
    <row r="170" spans="1:71" ht="15">
      <c r="A170" s="65" t="s">
        <v>486</v>
      </c>
      <c r="B170" s="66"/>
      <c r="C170" s="66"/>
      <c r="D170" s="67">
        <v>150</v>
      </c>
      <c r="E170" s="69"/>
      <c r="F170" s="103" t="str">
        <f>HYPERLINK("https://yt3.ggpht.com/ytc/AKedOLRnAKijs3862W4IFx7aRrxFiyMP3082-WfEHCeHuSU=s88-c-k-c0x00ffffff-no-rj")</f>
        <v>https://yt3.ggpht.com/ytc/AKedOLRnAKijs3862W4IFx7aRrxFiyMP3082-WfEHCeHuSU=s88-c-k-c0x00ffffff-no-rj</v>
      </c>
      <c r="G170" s="66"/>
      <c r="H170" s="70" t="s">
        <v>999</v>
      </c>
      <c r="I170" s="71"/>
      <c r="J170" s="71" t="s">
        <v>159</v>
      </c>
      <c r="K170" s="70" t="s">
        <v>999</v>
      </c>
      <c r="L170" s="74">
        <v>1</v>
      </c>
      <c r="M170" s="75">
        <v>1903.8638916015625</v>
      </c>
      <c r="N170" s="75">
        <v>8696.53125</v>
      </c>
      <c r="O170" s="76"/>
      <c r="P170" s="77"/>
      <c r="Q170" s="77"/>
      <c r="R170" s="89"/>
      <c r="S170" s="49">
        <v>0</v>
      </c>
      <c r="T170" s="49">
        <v>1</v>
      </c>
      <c r="U170" s="50">
        <v>0</v>
      </c>
      <c r="V170" s="50">
        <v>0.189881</v>
      </c>
      <c r="W170" s="50">
        <v>0.080745</v>
      </c>
      <c r="X170" s="50">
        <v>0.003874</v>
      </c>
      <c r="Y170" s="50">
        <v>0</v>
      </c>
      <c r="Z170" s="50">
        <v>0</v>
      </c>
      <c r="AA170" s="72">
        <v>170</v>
      </c>
      <c r="AB170" s="72"/>
      <c r="AC170" s="73"/>
      <c r="AD170" s="80" t="s">
        <v>999</v>
      </c>
      <c r="AE170" s="80"/>
      <c r="AF170" s="80"/>
      <c r="AG170" s="80"/>
      <c r="AH170" s="80"/>
      <c r="AI170" s="80"/>
      <c r="AJ170" s="87">
        <v>41219.77712962963</v>
      </c>
      <c r="AK170" s="85" t="str">
        <f>HYPERLINK("https://yt3.ggpht.com/ytc/AKedOLRnAKijs3862W4IFx7aRrxFiyMP3082-WfEHCeHuSU=s88-c-k-c0x00ffffff-no-rj")</f>
        <v>https://yt3.ggpht.com/ytc/AKedOLRnAKijs3862W4IFx7aRrxFiyMP3082-WfEHCeHuSU=s88-c-k-c0x00ffffff-no-rj</v>
      </c>
      <c r="AL170" s="80">
        <v>0</v>
      </c>
      <c r="AM170" s="80">
        <v>0</v>
      </c>
      <c r="AN170" s="80">
        <v>0</v>
      </c>
      <c r="AO170" s="80" t="b">
        <v>0</v>
      </c>
      <c r="AP170" s="80">
        <v>0</v>
      </c>
      <c r="AQ170" s="80"/>
      <c r="AR170" s="80"/>
      <c r="AS170" s="80" t="s">
        <v>1376</v>
      </c>
      <c r="AT170" s="85" t="str">
        <f>HYPERLINK("https://www.youtube.com/channel/UCe9SZXN8hQOR5jjWTKgMNiA")</f>
        <v>https://www.youtube.com/channel/UCe9SZXN8hQOR5jjWTKgMNiA</v>
      </c>
      <c r="AU170" s="80" t="str">
        <f>REPLACE(INDEX(GroupVertices[Group],MATCH(Vertices[[#This Row],[Vertex]],GroupVertices[Vertex],0)),1,1,"")</f>
        <v>1</v>
      </c>
      <c r="AV170" s="49">
        <v>2</v>
      </c>
      <c r="AW170" s="50">
        <v>20</v>
      </c>
      <c r="AX170" s="49">
        <v>0</v>
      </c>
      <c r="AY170" s="50">
        <v>0</v>
      </c>
      <c r="AZ170" s="49">
        <v>0</v>
      </c>
      <c r="BA170" s="50">
        <v>0</v>
      </c>
      <c r="BB170" s="49">
        <v>8</v>
      </c>
      <c r="BC170" s="50">
        <v>80</v>
      </c>
      <c r="BD170" s="49">
        <v>10</v>
      </c>
      <c r="BE170" s="49"/>
      <c r="BF170" s="49"/>
      <c r="BG170" s="49"/>
      <c r="BH170" s="49"/>
      <c r="BI170" s="49"/>
      <c r="BJ170" s="49"/>
      <c r="BK170" s="111" t="s">
        <v>2488</v>
      </c>
      <c r="BL170" s="111" t="s">
        <v>2488</v>
      </c>
      <c r="BM170" s="111" t="s">
        <v>2676</v>
      </c>
      <c r="BN170" s="111" t="s">
        <v>2676</v>
      </c>
      <c r="BO170" s="2"/>
      <c r="BP170" s="3"/>
      <c r="BQ170" s="3"/>
      <c r="BR170" s="3"/>
      <c r="BS170" s="3"/>
    </row>
    <row r="171" spans="1:71" ht="15">
      <c r="A171" s="65" t="s">
        <v>487</v>
      </c>
      <c r="B171" s="66"/>
      <c r="C171" s="66"/>
      <c r="D171" s="67">
        <v>150</v>
      </c>
      <c r="E171" s="69"/>
      <c r="F171" s="103" t="str">
        <f>HYPERLINK("https://yt3.ggpht.com/ytc/AKedOLSvvPBs_9_kc0WHBIODwc3g3Jgee6aIIlJ1uERCng=s88-c-k-c0x00ffffff-no-rj")</f>
        <v>https://yt3.ggpht.com/ytc/AKedOLSvvPBs_9_kc0WHBIODwc3g3Jgee6aIIlJ1uERCng=s88-c-k-c0x00ffffff-no-rj</v>
      </c>
      <c r="G171" s="66"/>
      <c r="H171" s="70" t="s">
        <v>1000</v>
      </c>
      <c r="I171" s="71"/>
      <c r="J171" s="71" t="s">
        <v>159</v>
      </c>
      <c r="K171" s="70" t="s">
        <v>1000</v>
      </c>
      <c r="L171" s="74">
        <v>1</v>
      </c>
      <c r="M171" s="75">
        <v>3006.505859375</v>
      </c>
      <c r="N171" s="75">
        <v>6603.16552734375</v>
      </c>
      <c r="O171" s="76"/>
      <c r="P171" s="77"/>
      <c r="Q171" s="77"/>
      <c r="R171" s="89"/>
      <c r="S171" s="49">
        <v>0</v>
      </c>
      <c r="T171" s="49">
        <v>1</v>
      </c>
      <c r="U171" s="50">
        <v>0</v>
      </c>
      <c r="V171" s="50">
        <v>0.189881</v>
      </c>
      <c r="W171" s="50">
        <v>0.080745</v>
      </c>
      <c r="X171" s="50">
        <v>0.003874</v>
      </c>
      <c r="Y171" s="50">
        <v>0</v>
      </c>
      <c r="Z171" s="50">
        <v>0</v>
      </c>
      <c r="AA171" s="72">
        <v>171</v>
      </c>
      <c r="AB171" s="72"/>
      <c r="AC171" s="73"/>
      <c r="AD171" s="80" t="s">
        <v>1000</v>
      </c>
      <c r="AE171" s="80"/>
      <c r="AF171" s="80"/>
      <c r="AG171" s="80"/>
      <c r="AH171" s="80"/>
      <c r="AI171" s="80" t="s">
        <v>1362</v>
      </c>
      <c r="AJ171" s="87">
        <v>40827.60628472222</v>
      </c>
      <c r="AK171" s="85" t="str">
        <f>HYPERLINK("https://yt3.ggpht.com/ytc/AKedOLSvvPBs_9_kc0WHBIODwc3g3Jgee6aIIlJ1uERCng=s88-c-k-c0x00ffffff-no-rj")</f>
        <v>https://yt3.ggpht.com/ytc/AKedOLSvvPBs_9_kc0WHBIODwc3g3Jgee6aIIlJ1uERCng=s88-c-k-c0x00ffffff-no-rj</v>
      </c>
      <c r="AL171" s="80">
        <v>1121</v>
      </c>
      <c r="AM171" s="80">
        <v>0</v>
      </c>
      <c r="AN171" s="80">
        <v>1</v>
      </c>
      <c r="AO171" s="80" t="b">
        <v>0</v>
      </c>
      <c r="AP171" s="80">
        <v>6</v>
      </c>
      <c r="AQ171" s="80"/>
      <c r="AR171" s="80"/>
      <c r="AS171" s="80" t="s">
        <v>1376</v>
      </c>
      <c r="AT171" s="85" t="str">
        <f>HYPERLINK("https://www.youtube.com/channel/UCZ8nrFIJyJwN6R0ZOALXetQ")</f>
        <v>https://www.youtube.com/channel/UCZ8nrFIJyJwN6R0ZOALXetQ</v>
      </c>
      <c r="AU171" s="80" t="str">
        <f>REPLACE(INDEX(GroupVertices[Group],MATCH(Vertices[[#This Row],[Vertex]],GroupVertices[Vertex],0)),1,1,"")</f>
        <v>1</v>
      </c>
      <c r="AV171" s="49">
        <v>1</v>
      </c>
      <c r="AW171" s="50">
        <v>12.5</v>
      </c>
      <c r="AX171" s="49">
        <v>0</v>
      </c>
      <c r="AY171" s="50">
        <v>0</v>
      </c>
      <c r="AZ171" s="49">
        <v>0</v>
      </c>
      <c r="BA171" s="50">
        <v>0</v>
      </c>
      <c r="BB171" s="49">
        <v>7</v>
      </c>
      <c r="BC171" s="50">
        <v>87.5</v>
      </c>
      <c r="BD171" s="49">
        <v>8</v>
      </c>
      <c r="BE171" s="49"/>
      <c r="BF171" s="49"/>
      <c r="BG171" s="49"/>
      <c r="BH171" s="49"/>
      <c r="BI171" s="49"/>
      <c r="BJ171" s="49"/>
      <c r="BK171" s="111" t="s">
        <v>2489</v>
      </c>
      <c r="BL171" s="111" t="s">
        <v>2489</v>
      </c>
      <c r="BM171" s="111" t="s">
        <v>2677</v>
      </c>
      <c r="BN171" s="111" t="s">
        <v>2677</v>
      </c>
      <c r="BO171" s="2"/>
      <c r="BP171" s="3"/>
      <c r="BQ171" s="3"/>
      <c r="BR171" s="3"/>
      <c r="BS171" s="3"/>
    </row>
    <row r="172" spans="1:71" ht="15">
      <c r="A172" s="65" t="s">
        <v>488</v>
      </c>
      <c r="B172" s="66"/>
      <c r="C172" s="66"/>
      <c r="D172" s="67">
        <v>150</v>
      </c>
      <c r="E172" s="69"/>
      <c r="F172" s="103" t="str">
        <f>HYPERLINK("https://yt3.ggpht.com/ytc/AKedOLQJnadhf-itjGismfiiWb2f-lj1bOjumZdowwOiqw=s88-c-k-c0x00ffffff-no-rj")</f>
        <v>https://yt3.ggpht.com/ytc/AKedOLQJnadhf-itjGismfiiWb2f-lj1bOjumZdowwOiqw=s88-c-k-c0x00ffffff-no-rj</v>
      </c>
      <c r="G172" s="66"/>
      <c r="H172" s="70" t="s">
        <v>1001</v>
      </c>
      <c r="I172" s="71"/>
      <c r="J172" s="71" t="s">
        <v>159</v>
      </c>
      <c r="K172" s="70" t="s">
        <v>1001</v>
      </c>
      <c r="L172" s="74">
        <v>1</v>
      </c>
      <c r="M172" s="75">
        <v>127.53502655029297</v>
      </c>
      <c r="N172" s="75">
        <v>9822.326171875</v>
      </c>
      <c r="O172" s="76"/>
      <c r="P172" s="77"/>
      <c r="Q172" s="77"/>
      <c r="R172" s="89"/>
      <c r="S172" s="49">
        <v>0</v>
      </c>
      <c r="T172" s="49">
        <v>1</v>
      </c>
      <c r="U172" s="50">
        <v>0</v>
      </c>
      <c r="V172" s="50">
        <v>0.143783</v>
      </c>
      <c r="W172" s="50">
        <v>0.010358</v>
      </c>
      <c r="X172" s="50">
        <v>0.00403</v>
      </c>
      <c r="Y172" s="50">
        <v>0</v>
      </c>
      <c r="Z172" s="50">
        <v>0</v>
      </c>
      <c r="AA172" s="72">
        <v>172</v>
      </c>
      <c r="AB172" s="72"/>
      <c r="AC172" s="73"/>
      <c r="AD172" s="80" t="s">
        <v>1001</v>
      </c>
      <c r="AE172" s="80"/>
      <c r="AF172" s="80"/>
      <c r="AG172" s="80"/>
      <c r="AH172" s="80"/>
      <c r="AI172" s="80"/>
      <c r="AJ172" s="87">
        <v>41081.335914351854</v>
      </c>
      <c r="AK172" s="85" t="str">
        <f>HYPERLINK("https://yt3.ggpht.com/ytc/AKedOLQJnadhf-itjGismfiiWb2f-lj1bOjumZdowwOiqw=s88-c-k-c0x00ffffff-no-rj")</f>
        <v>https://yt3.ggpht.com/ytc/AKedOLQJnadhf-itjGismfiiWb2f-lj1bOjumZdowwOiqw=s88-c-k-c0x00ffffff-no-rj</v>
      </c>
      <c r="AL172" s="80">
        <v>20</v>
      </c>
      <c r="AM172" s="80">
        <v>0</v>
      </c>
      <c r="AN172" s="80">
        <v>0</v>
      </c>
      <c r="AO172" s="80" t="b">
        <v>0</v>
      </c>
      <c r="AP172" s="80">
        <v>1</v>
      </c>
      <c r="AQ172" s="80"/>
      <c r="AR172" s="80"/>
      <c r="AS172" s="80" t="s">
        <v>1376</v>
      </c>
      <c r="AT172" s="85" t="str">
        <f>HYPERLINK("https://www.youtube.com/channel/UCc_IrnsTVtcDBTMBJ6prkag")</f>
        <v>https://www.youtube.com/channel/UCc_IrnsTVtcDBTMBJ6prkag</v>
      </c>
      <c r="AU172" s="80" t="str">
        <f>REPLACE(INDEX(GroupVertices[Group],MATCH(Vertices[[#This Row],[Vertex]],GroupVertices[Vertex],0)),1,1,"")</f>
        <v>1</v>
      </c>
      <c r="AV172" s="49">
        <v>0</v>
      </c>
      <c r="AW172" s="50">
        <v>0</v>
      </c>
      <c r="AX172" s="49">
        <v>0</v>
      </c>
      <c r="AY172" s="50">
        <v>0</v>
      </c>
      <c r="AZ172" s="49">
        <v>0</v>
      </c>
      <c r="BA172" s="50">
        <v>0</v>
      </c>
      <c r="BB172" s="49">
        <v>13</v>
      </c>
      <c r="BC172" s="50">
        <v>100</v>
      </c>
      <c r="BD172" s="49">
        <v>13</v>
      </c>
      <c r="BE172" s="49"/>
      <c r="BF172" s="49"/>
      <c r="BG172" s="49"/>
      <c r="BH172" s="49"/>
      <c r="BI172" s="49"/>
      <c r="BJ172" s="49"/>
      <c r="BK172" s="111" t="s">
        <v>2490</v>
      </c>
      <c r="BL172" s="111" t="s">
        <v>2490</v>
      </c>
      <c r="BM172" s="111" t="s">
        <v>2678</v>
      </c>
      <c r="BN172" s="111" t="s">
        <v>2678</v>
      </c>
      <c r="BO172" s="2"/>
      <c r="BP172" s="3"/>
      <c r="BQ172" s="3"/>
      <c r="BR172" s="3"/>
      <c r="BS172" s="3"/>
    </row>
    <row r="173" spans="1:71" ht="15">
      <c r="A173" s="65" t="s">
        <v>489</v>
      </c>
      <c r="B173" s="66"/>
      <c r="C173" s="66"/>
      <c r="D173" s="67">
        <v>358.42911877394636</v>
      </c>
      <c r="E173" s="69"/>
      <c r="F173" s="103" t="str">
        <f>HYPERLINK("https://yt3.ggpht.com/ytc/AKedOLQNlbrmQJDUA__26goD0SPKPugzm6-_iFaYiQ=s88-c-k-c0x00ffffff-no-rj")</f>
        <v>https://yt3.ggpht.com/ytc/AKedOLQNlbrmQJDUA__26goD0SPKPugzm6-_iFaYiQ=s88-c-k-c0x00ffffff-no-rj</v>
      </c>
      <c r="G173" s="66"/>
      <c r="H173" s="70" t="s">
        <v>1002</v>
      </c>
      <c r="I173" s="71"/>
      <c r="J173" s="71" t="s">
        <v>75</v>
      </c>
      <c r="K173" s="70" t="s">
        <v>1002</v>
      </c>
      <c r="L173" s="74">
        <v>185.61174490149398</v>
      </c>
      <c r="M173" s="75">
        <v>883.7609252929688</v>
      </c>
      <c r="N173" s="75">
        <v>8205.005859375</v>
      </c>
      <c r="O173" s="76"/>
      <c r="P173" s="77"/>
      <c r="Q173" s="77"/>
      <c r="R173" s="89"/>
      <c r="S173" s="49">
        <v>3</v>
      </c>
      <c r="T173" s="49">
        <v>2</v>
      </c>
      <c r="U173" s="50">
        <v>256</v>
      </c>
      <c r="V173" s="50">
        <v>0.190852</v>
      </c>
      <c r="W173" s="50">
        <v>0.092266</v>
      </c>
      <c r="X173" s="50">
        <v>0.004714</v>
      </c>
      <c r="Y173" s="50">
        <v>0</v>
      </c>
      <c r="Z173" s="50">
        <v>0.5</v>
      </c>
      <c r="AA173" s="72">
        <v>173</v>
      </c>
      <c r="AB173" s="72"/>
      <c r="AC173" s="73"/>
      <c r="AD173" s="80" t="s">
        <v>1002</v>
      </c>
      <c r="AE173" s="80"/>
      <c r="AF173" s="80"/>
      <c r="AG173" s="80"/>
      <c r="AH173" s="80"/>
      <c r="AI173" s="80"/>
      <c r="AJ173" s="87">
        <v>39711.30605324074</v>
      </c>
      <c r="AK173" s="85" t="str">
        <f>HYPERLINK("https://yt3.ggpht.com/ytc/AKedOLQNlbrmQJDUA__26goD0SPKPugzm6-_iFaYiQ=s88-c-k-c0x00ffffff-no-rj")</f>
        <v>https://yt3.ggpht.com/ytc/AKedOLQNlbrmQJDUA__26goD0SPKPugzm6-_iFaYiQ=s88-c-k-c0x00ffffff-no-rj</v>
      </c>
      <c r="AL173" s="80">
        <v>0</v>
      </c>
      <c r="AM173" s="80">
        <v>0</v>
      </c>
      <c r="AN173" s="80">
        <v>0</v>
      </c>
      <c r="AO173" s="80" t="b">
        <v>0</v>
      </c>
      <c r="AP173" s="80">
        <v>0</v>
      </c>
      <c r="AQ173" s="80"/>
      <c r="AR173" s="80"/>
      <c r="AS173" s="80" t="s">
        <v>1376</v>
      </c>
      <c r="AT173" s="85" t="str">
        <f>HYPERLINK("https://www.youtube.com/channel/UCd0sHnrF1NVw90DF39XEKDQ")</f>
        <v>https://www.youtube.com/channel/UCd0sHnrF1NVw90DF39XEKDQ</v>
      </c>
      <c r="AU173" s="80" t="str">
        <f>REPLACE(INDEX(GroupVertices[Group],MATCH(Vertices[[#This Row],[Vertex]],GroupVertices[Vertex],0)),1,1,"")</f>
        <v>1</v>
      </c>
      <c r="AV173" s="49">
        <v>6</v>
      </c>
      <c r="AW173" s="50">
        <v>1.5037593984962405</v>
      </c>
      <c r="AX173" s="49">
        <v>0</v>
      </c>
      <c r="AY173" s="50">
        <v>0</v>
      </c>
      <c r="AZ173" s="49">
        <v>0</v>
      </c>
      <c r="BA173" s="50">
        <v>0</v>
      </c>
      <c r="BB173" s="49">
        <v>393</v>
      </c>
      <c r="BC173" s="50">
        <v>98.49624060150376</v>
      </c>
      <c r="BD173" s="49">
        <v>399</v>
      </c>
      <c r="BE173" s="49" t="s">
        <v>2339</v>
      </c>
      <c r="BF173" s="49" t="s">
        <v>2339</v>
      </c>
      <c r="BG173" s="49" t="s">
        <v>1221</v>
      </c>
      <c r="BH173" s="49" t="s">
        <v>1221</v>
      </c>
      <c r="BI173" s="49"/>
      <c r="BJ173" s="49"/>
      <c r="BK173" s="111" t="s">
        <v>2491</v>
      </c>
      <c r="BL173" s="111" t="s">
        <v>2538</v>
      </c>
      <c r="BM173" s="111" t="s">
        <v>2679</v>
      </c>
      <c r="BN173" s="111" t="s">
        <v>2717</v>
      </c>
      <c r="BO173" s="2"/>
      <c r="BP173" s="3"/>
      <c r="BQ173" s="3"/>
      <c r="BR173" s="3"/>
      <c r="BS173" s="3"/>
    </row>
    <row r="174" spans="1:71" ht="15">
      <c r="A174" s="65" t="s">
        <v>490</v>
      </c>
      <c r="B174" s="66"/>
      <c r="C174" s="66"/>
      <c r="D174" s="67">
        <v>150</v>
      </c>
      <c r="E174" s="69"/>
      <c r="F174" s="103" t="str">
        <f>HYPERLINK("https://yt3.ggpht.com/ytc/AKedOLRn6Bb5mXiX-T9j25sPyCyPAJu9AlKoyJmPUA=s88-c-k-c0x00ffffff-no-rj")</f>
        <v>https://yt3.ggpht.com/ytc/AKedOLRn6Bb5mXiX-T9j25sPyCyPAJu9AlKoyJmPUA=s88-c-k-c0x00ffffff-no-rj</v>
      </c>
      <c r="G174" s="66"/>
      <c r="H174" s="70" t="s">
        <v>1003</v>
      </c>
      <c r="I174" s="71"/>
      <c r="J174" s="71" t="s">
        <v>159</v>
      </c>
      <c r="K174" s="70" t="s">
        <v>1003</v>
      </c>
      <c r="L174" s="74">
        <v>1</v>
      </c>
      <c r="M174" s="75">
        <v>781.325927734375</v>
      </c>
      <c r="N174" s="75">
        <v>7327.5361328125</v>
      </c>
      <c r="O174" s="76"/>
      <c r="P174" s="77"/>
      <c r="Q174" s="77"/>
      <c r="R174" s="89"/>
      <c r="S174" s="49">
        <v>2</v>
      </c>
      <c r="T174" s="49">
        <v>2</v>
      </c>
      <c r="U174" s="50">
        <v>0</v>
      </c>
      <c r="V174" s="50">
        <v>0.189881</v>
      </c>
      <c r="W174" s="50">
        <v>0.090956</v>
      </c>
      <c r="X174" s="50">
        <v>0.004188</v>
      </c>
      <c r="Y174" s="50">
        <v>0</v>
      </c>
      <c r="Z174" s="50">
        <v>1</v>
      </c>
      <c r="AA174" s="72">
        <v>174</v>
      </c>
      <c r="AB174" s="72"/>
      <c r="AC174" s="73"/>
      <c r="AD174" s="80" t="s">
        <v>1003</v>
      </c>
      <c r="AE174" s="80"/>
      <c r="AF174" s="80"/>
      <c r="AG174" s="80"/>
      <c r="AH174" s="80"/>
      <c r="AI174" s="80"/>
      <c r="AJ174" s="87">
        <v>41318.91515046296</v>
      </c>
      <c r="AK174" s="85" t="str">
        <f>HYPERLINK("https://yt3.ggpht.com/ytc/AKedOLRn6Bb5mXiX-T9j25sPyCyPAJu9AlKoyJmPUA=s88-c-k-c0x00ffffff-no-rj")</f>
        <v>https://yt3.ggpht.com/ytc/AKedOLRn6Bb5mXiX-T9j25sPyCyPAJu9AlKoyJmPUA=s88-c-k-c0x00ffffff-no-rj</v>
      </c>
      <c r="AL174" s="80">
        <v>0</v>
      </c>
      <c r="AM174" s="80">
        <v>0</v>
      </c>
      <c r="AN174" s="80">
        <v>3</v>
      </c>
      <c r="AO174" s="80" t="b">
        <v>0</v>
      </c>
      <c r="AP174" s="80">
        <v>0</v>
      </c>
      <c r="AQ174" s="80"/>
      <c r="AR174" s="80"/>
      <c r="AS174" s="80" t="s">
        <v>1376</v>
      </c>
      <c r="AT174" s="85" t="str">
        <f>HYPERLINK("https://www.youtube.com/channel/UC9AMcBHhYQKbFy83LwC70Fg")</f>
        <v>https://www.youtube.com/channel/UC9AMcBHhYQKbFy83LwC70Fg</v>
      </c>
      <c r="AU174" s="80" t="str">
        <f>REPLACE(INDEX(GroupVertices[Group],MATCH(Vertices[[#This Row],[Vertex]],GroupVertices[Vertex],0)),1,1,"")</f>
        <v>1</v>
      </c>
      <c r="AV174" s="49">
        <v>2</v>
      </c>
      <c r="AW174" s="50">
        <v>1.6</v>
      </c>
      <c r="AX174" s="49">
        <v>4</v>
      </c>
      <c r="AY174" s="50">
        <v>3.2</v>
      </c>
      <c r="AZ174" s="49">
        <v>0</v>
      </c>
      <c r="BA174" s="50">
        <v>0</v>
      </c>
      <c r="BB174" s="49">
        <v>119</v>
      </c>
      <c r="BC174" s="50">
        <v>95.2</v>
      </c>
      <c r="BD174" s="49">
        <v>125</v>
      </c>
      <c r="BE174" s="49"/>
      <c r="BF174" s="49"/>
      <c r="BG174" s="49"/>
      <c r="BH174" s="49"/>
      <c r="BI174" s="49"/>
      <c r="BJ174" s="49"/>
      <c r="BK174" s="111" t="s">
        <v>2492</v>
      </c>
      <c r="BL174" s="111" t="s">
        <v>2492</v>
      </c>
      <c r="BM174" s="111" t="s">
        <v>2680</v>
      </c>
      <c r="BN174" s="111" t="s">
        <v>2680</v>
      </c>
      <c r="BO174" s="2"/>
      <c r="BP174" s="3"/>
      <c r="BQ174" s="3"/>
      <c r="BR174" s="3"/>
      <c r="BS174" s="3"/>
    </row>
    <row r="175" spans="1:71" ht="15">
      <c r="A175" s="65" t="s">
        <v>491</v>
      </c>
      <c r="B175" s="66"/>
      <c r="C175" s="66"/>
      <c r="D175" s="67">
        <v>150</v>
      </c>
      <c r="E175" s="69"/>
      <c r="F175" s="103" t="str">
        <f>HYPERLINK("https://yt3.ggpht.com/ytc/AKedOLRi1iB_WjdZrX46GWfa6XsamZoW5RzJJlmDifWf=s88-c-k-c0x00ffffff-no-rj")</f>
        <v>https://yt3.ggpht.com/ytc/AKedOLRi1iB_WjdZrX46GWfa6XsamZoW5RzJJlmDifWf=s88-c-k-c0x00ffffff-no-rj</v>
      </c>
      <c r="G175" s="66"/>
      <c r="H175" s="70" t="s">
        <v>1004</v>
      </c>
      <c r="I175" s="71"/>
      <c r="J175" s="71" t="s">
        <v>159</v>
      </c>
      <c r="K175" s="70" t="s">
        <v>1004</v>
      </c>
      <c r="L175" s="74">
        <v>1</v>
      </c>
      <c r="M175" s="75">
        <v>2838.542236328125</v>
      </c>
      <c r="N175" s="75">
        <v>6127.19873046875</v>
      </c>
      <c r="O175" s="76"/>
      <c r="P175" s="77"/>
      <c r="Q175" s="77"/>
      <c r="R175" s="89"/>
      <c r="S175" s="49">
        <v>2</v>
      </c>
      <c r="T175" s="49">
        <v>2</v>
      </c>
      <c r="U175" s="50">
        <v>0</v>
      </c>
      <c r="V175" s="50">
        <v>0.189881</v>
      </c>
      <c r="W175" s="50">
        <v>0.090956</v>
      </c>
      <c r="X175" s="50">
        <v>0.004188</v>
      </c>
      <c r="Y175" s="50">
        <v>0</v>
      </c>
      <c r="Z175" s="50">
        <v>1</v>
      </c>
      <c r="AA175" s="72">
        <v>175</v>
      </c>
      <c r="AB175" s="72"/>
      <c r="AC175" s="73"/>
      <c r="AD175" s="80" t="s">
        <v>1004</v>
      </c>
      <c r="AE175" s="80"/>
      <c r="AF175" s="80"/>
      <c r="AG175" s="80"/>
      <c r="AH175" s="80"/>
      <c r="AI175" s="80"/>
      <c r="AJ175" s="87">
        <v>40506.80913194444</v>
      </c>
      <c r="AK175" s="85" t="str">
        <f>HYPERLINK("https://yt3.ggpht.com/ytc/AKedOLRi1iB_WjdZrX46GWfa6XsamZoW5RzJJlmDifWf=s88-c-k-c0x00ffffff-no-rj")</f>
        <v>https://yt3.ggpht.com/ytc/AKedOLRi1iB_WjdZrX46GWfa6XsamZoW5RzJJlmDifWf=s88-c-k-c0x00ffffff-no-rj</v>
      </c>
      <c r="AL175" s="80">
        <v>0</v>
      </c>
      <c r="AM175" s="80">
        <v>0</v>
      </c>
      <c r="AN175" s="80">
        <v>0</v>
      </c>
      <c r="AO175" s="80" t="b">
        <v>0</v>
      </c>
      <c r="AP175" s="80">
        <v>0</v>
      </c>
      <c r="AQ175" s="80"/>
      <c r="AR175" s="80"/>
      <c r="AS175" s="80" t="s">
        <v>1376</v>
      </c>
      <c r="AT175" s="85" t="str">
        <f>HYPERLINK("https://www.youtube.com/channel/UCQm-eZonEALK3soY6l1QuCA")</f>
        <v>https://www.youtube.com/channel/UCQm-eZonEALK3soY6l1QuCA</v>
      </c>
      <c r="AU175" s="80" t="str">
        <f>REPLACE(INDEX(GroupVertices[Group],MATCH(Vertices[[#This Row],[Vertex]],GroupVertices[Vertex],0)),1,1,"")</f>
        <v>1</v>
      </c>
      <c r="AV175" s="49">
        <v>5</v>
      </c>
      <c r="AW175" s="50">
        <v>3.787878787878788</v>
      </c>
      <c r="AX175" s="49">
        <v>2</v>
      </c>
      <c r="AY175" s="50">
        <v>1.5151515151515151</v>
      </c>
      <c r="AZ175" s="49">
        <v>0</v>
      </c>
      <c r="BA175" s="50">
        <v>0</v>
      </c>
      <c r="BB175" s="49">
        <v>125</v>
      </c>
      <c r="BC175" s="50">
        <v>94.6969696969697</v>
      </c>
      <c r="BD175" s="49">
        <v>132</v>
      </c>
      <c r="BE175" s="49"/>
      <c r="BF175" s="49"/>
      <c r="BG175" s="49"/>
      <c r="BH175" s="49"/>
      <c r="BI175" s="49"/>
      <c r="BJ175" s="49"/>
      <c r="BK175" s="111" t="s">
        <v>2493</v>
      </c>
      <c r="BL175" s="111" t="s">
        <v>2539</v>
      </c>
      <c r="BM175" s="111" t="s">
        <v>2681</v>
      </c>
      <c r="BN175" s="111" t="s">
        <v>2681</v>
      </c>
      <c r="BO175" s="2"/>
      <c r="BP175" s="3"/>
      <c r="BQ175" s="3"/>
      <c r="BR175" s="3"/>
      <c r="BS175" s="3"/>
    </row>
    <row r="176" spans="1:71" ht="15">
      <c r="A176" s="65" t="s">
        <v>492</v>
      </c>
      <c r="B176" s="66"/>
      <c r="C176" s="66"/>
      <c r="D176" s="67">
        <v>150</v>
      </c>
      <c r="E176" s="69"/>
      <c r="F176" s="103" t="str">
        <f>HYPERLINK("https://yt3.ggpht.com/ytc/AKedOLTCNDi39_v_IwPuSaI7q6_soTKJc45xcUAIFAPbTQ=s88-c-k-c0x00ffffff-no-rj")</f>
        <v>https://yt3.ggpht.com/ytc/AKedOLTCNDi39_v_IwPuSaI7q6_soTKJc45xcUAIFAPbTQ=s88-c-k-c0x00ffffff-no-rj</v>
      </c>
      <c r="G176" s="66"/>
      <c r="H176" s="70" t="s">
        <v>1005</v>
      </c>
      <c r="I176" s="71"/>
      <c r="J176" s="71" t="s">
        <v>159</v>
      </c>
      <c r="K176" s="70" t="s">
        <v>1005</v>
      </c>
      <c r="L176" s="74">
        <v>1</v>
      </c>
      <c r="M176" s="75">
        <v>2006.43896484375</v>
      </c>
      <c r="N176" s="75">
        <v>5069.60498046875</v>
      </c>
      <c r="O176" s="76"/>
      <c r="P176" s="77"/>
      <c r="Q176" s="77"/>
      <c r="R176" s="89"/>
      <c r="S176" s="49">
        <v>0</v>
      </c>
      <c r="T176" s="49">
        <v>2</v>
      </c>
      <c r="U176" s="50">
        <v>0</v>
      </c>
      <c r="V176" s="50">
        <v>0.190366</v>
      </c>
      <c r="W176" s="50">
        <v>0.090956</v>
      </c>
      <c r="X176" s="50">
        <v>0.004188</v>
      </c>
      <c r="Y176" s="50">
        <v>0.5</v>
      </c>
      <c r="Z176" s="50">
        <v>0</v>
      </c>
      <c r="AA176" s="72">
        <v>176</v>
      </c>
      <c r="AB176" s="72"/>
      <c r="AC176" s="73"/>
      <c r="AD176" s="80" t="s">
        <v>1005</v>
      </c>
      <c r="AE176" s="80"/>
      <c r="AF176" s="80"/>
      <c r="AG176" s="80"/>
      <c r="AH176" s="80"/>
      <c r="AI176" s="80"/>
      <c r="AJ176" s="87">
        <v>41000.775972222225</v>
      </c>
      <c r="AK176" s="85" t="str">
        <f>HYPERLINK("https://yt3.ggpht.com/ytc/AKedOLTCNDi39_v_IwPuSaI7q6_soTKJc45xcUAIFAPbTQ=s88-c-k-c0x00ffffff-no-rj")</f>
        <v>https://yt3.ggpht.com/ytc/AKedOLTCNDi39_v_IwPuSaI7q6_soTKJc45xcUAIFAPbTQ=s88-c-k-c0x00ffffff-no-rj</v>
      </c>
      <c r="AL176" s="80">
        <v>0</v>
      </c>
      <c r="AM176" s="80">
        <v>0</v>
      </c>
      <c r="AN176" s="80">
        <v>0</v>
      </c>
      <c r="AO176" s="80" t="b">
        <v>0</v>
      </c>
      <c r="AP176" s="80">
        <v>0</v>
      </c>
      <c r="AQ176" s="80"/>
      <c r="AR176" s="80"/>
      <c r="AS176" s="80" t="s">
        <v>1376</v>
      </c>
      <c r="AT176" s="85" t="str">
        <f>HYPERLINK("https://www.youtube.com/channel/UCgeaB9V_kFKh-hU_yGjNvjw")</f>
        <v>https://www.youtube.com/channel/UCgeaB9V_kFKh-hU_yGjNvjw</v>
      </c>
      <c r="AU176" s="80" t="str">
        <f>REPLACE(INDEX(GroupVertices[Group],MATCH(Vertices[[#This Row],[Vertex]],GroupVertices[Vertex],0)),1,1,"")</f>
        <v>1</v>
      </c>
      <c r="AV176" s="49">
        <v>6</v>
      </c>
      <c r="AW176" s="50">
        <v>5.217391304347826</v>
      </c>
      <c r="AX176" s="49">
        <v>0</v>
      </c>
      <c r="AY176" s="50">
        <v>0</v>
      </c>
      <c r="AZ176" s="49">
        <v>0</v>
      </c>
      <c r="BA176" s="50">
        <v>0</v>
      </c>
      <c r="BB176" s="49">
        <v>109</v>
      </c>
      <c r="BC176" s="50">
        <v>94.78260869565217</v>
      </c>
      <c r="BD176" s="49">
        <v>115</v>
      </c>
      <c r="BE176" s="49"/>
      <c r="BF176" s="49"/>
      <c r="BG176" s="49"/>
      <c r="BH176" s="49"/>
      <c r="BI176" s="49"/>
      <c r="BJ176" s="49"/>
      <c r="BK176" s="111" t="s">
        <v>2494</v>
      </c>
      <c r="BL176" s="111" t="s">
        <v>2540</v>
      </c>
      <c r="BM176" s="111" t="s">
        <v>2682</v>
      </c>
      <c r="BN176" s="111" t="s">
        <v>2718</v>
      </c>
      <c r="BO176" s="2"/>
      <c r="BP176" s="3"/>
      <c r="BQ176" s="3"/>
      <c r="BR176" s="3"/>
      <c r="BS176" s="3"/>
    </row>
    <row r="177" spans="1:71" ht="15">
      <c r="A177" s="65" t="s">
        <v>493</v>
      </c>
      <c r="B177" s="66"/>
      <c r="C177" s="66"/>
      <c r="D177" s="67">
        <v>150</v>
      </c>
      <c r="E177" s="69"/>
      <c r="F177" s="103" t="str">
        <f>HYPERLINK("https://yt3.ggpht.com/ytc/AKedOLQmtxN6kxlh6ZSxfwH_QByE-BxAe1yclwv2X7ZcBw=s88-c-k-c0x00ffffff-no-rj")</f>
        <v>https://yt3.ggpht.com/ytc/AKedOLQmtxN6kxlh6ZSxfwH_QByE-BxAe1yclwv2X7ZcBw=s88-c-k-c0x00ffffff-no-rj</v>
      </c>
      <c r="G177" s="66"/>
      <c r="H177" s="70" t="s">
        <v>1006</v>
      </c>
      <c r="I177" s="71"/>
      <c r="J177" s="71" t="s">
        <v>159</v>
      </c>
      <c r="K177" s="70" t="s">
        <v>1006</v>
      </c>
      <c r="L177" s="74">
        <v>1</v>
      </c>
      <c r="M177" s="75">
        <v>1723.7197265625</v>
      </c>
      <c r="N177" s="75">
        <v>4820.8662109375</v>
      </c>
      <c r="O177" s="76"/>
      <c r="P177" s="77"/>
      <c r="Q177" s="77"/>
      <c r="R177" s="89"/>
      <c r="S177" s="49">
        <v>1</v>
      </c>
      <c r="T177" s="49">
        <v>1</v>
      </c>
      <c r="U177" s="50">
        <v>0</v>
      </c>
      <c r="V177" s="50">
        <v>0.190366</v>
      </c>
      <c r="W177" s="50">
        <v>0.090956</v>
      </c>
      <c r="X177" s="50">
        <v>0.004188</v>
      </c>
      <c r="Y177" s="50">
        <v>0.5</v>
      </c>
      <c r="Z177" s="50">
        <v>0</v>
      </c>
      <c r="AA177" s="72">
        <v>177</v>
      </c>
      <c r="AB177" s="72"/>
      <c r="AC177" s="73"/>
      <c r="AD177" s="80" t="s">
        <v>1006</v>
      </c>
      <c r="AE177" s="80"/>
      <c r="AF177" s="80"/>
      <c r="AG177" s="80"/>
      <c r="AH177" s="80"/>
      <c r="AI177" s="80" t="s">
        <v>1363</v>
      </c>
      <c r="AJ177" s="87">
        <v>40931.77402777778</v>
      </c>
      <c r="AK177" s="85" t="str">
        <f>HYPERLINK("https://yt3.ggpht.com/ytc/AKedOLQmtxN6kxlh6ZSxfwH_QByE-BxAe1yclwv2X7ZcBw=s88-c-k-c0x00ffffff-no-rj")</f>
        <v>https://yt3.ggpht.com/ytc/AKedOLQmtxN6kxlh6ZSxfwH_QByE-BxAe1yclwv2X7ZcBw=s88-c-k-c0x00ffffff-no-rj</v>
      </c>
      <c r="AL177" s="80">
        <v>125</v>
      </c>
      <c r="AM177" s="80">
        <v>0</v>
      </c>
      <c r="AN177" s="80">
        <v>0</v>
      </c>
      <c r="AO177" s="80" t="b">
        <v>0</v>
      </c>
      <c r="AP177" s="80">
        <v>5</v>
      </c>
      <c r="AQ177" s="80"/>
      <c r="AR177" s="80"/>
      <c r="AS177" s="80" t="s">
        <v>1376</v>
      </c>
      <c r="AT177" s="85" t="str">
        <f>HYPERLINK("https://www.youtube.com/channel/UCPvkSOa9uU8mqNMYuGeYq1w")</f>
        <v>https://www.youtube.com/channel/UCPvkSOa9uU8mqNMYuGeYq1w</v>
      </c>
      <c r="AU177" s="80" t="str">
        <f>REPLACE(INDEX(GroupVertices[Group],MATCH(Vertices[[#This Row],[Vertex]],GroupVertices[Vertex],0)),1,1,"")</f>
        <v>1</v>
      </c>
      <c r="AV177" s="49">
        <v>1</v>
      </c>
      <c r="AW177" s="50">
        <v>7.142857142857143</v>
      </c>
      <c r="AX177" s="49">
        <v>0</v>
      </c>
      <c r="AY177" s="50">
        <v>0</v>
      </c>
      <c r="AZ177" s="49">
        <v>0</v>
      </c>
      <c r="BA177" s="50">
        <v>0</v>
      </c>
      <c r="BB177" s="49">
        <v>13</v>
      </c>
      <c r="BC177" s="50">
        <v>92.85714285714286</v>
      </c>
      <c r="BD177" s="49">
        <v>14</v>
      </c>
      <c r="BE177" s="49"/>
      <c r="BF177" s="49"/>
      <c r="BG177" s="49"/>
      <c r="BH177" s="49"/>
      <c r="BI177" s="49"/>
      <c r="BJ177" s="49"/>
      <c r="BK177" s="111" t="s">
        <v>2495</v>
      </c>
      <c r="BL177" s="111" t="s">
        <v>2495</v>
      </c>
      <c r="BM177" s="111" t="s">
        <v>2683</v>
      </c>
      <c r="BN177" s="111" t="s">
        <v>2683</v>
      </c>
      <c r="BO177" s="2"/>
      <c r="BP177" s="3"/>
      <c r="BQ177" s="3"/>
      <c r="BR177" s="3"/>
      <c r="BS177" s="3"/>
    </row>
    <row r="178" spans="1:71" ht="15">
      <c r="A178" s="65" t="s">
        <v>494</v>
      </c>
      <c r="B178" s="66"/>
      <c r="C178" s="66"/>
      <c r="D178" s="67">
        <v>150</v>
      </c>
      <c r="E178" s="69"/>
      <c r="F178" s="103" t="str">
        <f>HYPERLINK("https://yt3.ggpht.com/ytc/AKedOLT_QtvCcgw_SLwlFUQ3gCXYVDuZ6wTmPCPG-tIAbA=s88-c-k-c0x00ffffff-no-rj")</f>
        <v>https://yt3.ggpht.com/ytc/AKedOLT_QtvCcgw_SLwlFUQ3gCXYVDuZ6wTmPCPG-tIAbA=s88-c-k-c0x00ffffff-no-rj</v>
      </c>
      <c r="G178" s="66"/>
      <c r="H178" s="70" t="s">
        <v>1007</v>
      </c>
      <c r="I178" s="71"/>
      <c r="J178" s="71" t="s">
        <v>159</v>
      </c>
      <c r="K178" s="70" t="s">
        <v>1007</v>
      </c>
      <c r="L178" s="74">
        <v>1</v>
      </c>
      <c r="M178" s="75">
        <v>710.7156372070312</v>
      </c>
      <c r="N178" s="75">
        <v>6645.19873046875</v>
      </c>
      <c r="O178" s="76"/>
      <c r="P178" s="77"/>
      <c r="Q178" s="77"/>
      <c r="R178" s="89"/>
      <c r="S178" s="49">
        <v>2</v>
      </c>
      <c r="T178" s="49">
        <v>2</v>
      </c>
      <c r="U178" s="50">
        <v>0</v>
      </c>
      <c r="V178" s="50">
        <v>0.189881</v>
      </c>
      <c r="W178" s="50">
        <v>0.090956</v>
      </c>
      <c r="X178" s="50">
        <v>0.004188</v>
      </c>
      <c r="Y178" s="50">
        <v>0</v>
      </c>
      <c r="Z178" s="50">
        <v>1</v>
      </c>
      <c r="AA178" s="72">
        <v>178</v>
      </c>
      <c r="AB178" s="72"/>
      <c r="AC178" s="73"/>
      <c r="AD178" s="80" t="s">
        <v>1007</v>
      </c>
      <c r="AE178" s="80" t="s">
        <v>1324</v>
      </c>
      <c r="AF178" s="80"/>
      <c r="AG178" s="80"/>
      <c r="AH178" s="80"/>
      <c r="AI178" s="80"/>
      <c r="AJ178" s="87">
        <v>40804.54577546296</v>
      </c>
      <c r="AK178" s="85" t="str">
        <f>HYPERLINK("https://yt3.ggpht.com/ytc/AKedOLT_QtvCcgw_SLwlFUQ3gCXYVDuZ6wTmPCPG-tIAbA=s88-c-k-c0x00ffffff-no-rj")</f>
        <v>https://yt3.ggpht.com/ytc/AKedOLT_QtvCcgw_SLwlFUQ3gCXYVDuZ6wTmPCPG-tIAbA=s88-c-k-c0x00ffffff-no-rj</v>
      </c>
      <c r="AL178" s="80">
        <v>101</v>
      </c>
      <c r="AM178" s="80">
        <v>0</v>
      </c>
      <c r="AN178" s="80">
        <v>6</v>
      </c>
      <c r="AO178" s="80" t="b">
        <v>0</v>
      </c>
      <c r="AP178" s="80">
        <v>1</v>
      </c>
      <c r="AQ178" s="80"/>
      <c r="AR178" s="80"/>
      <c r="AS178" s="80" t="s">
        <v>1376</v>
      </c>
      <c r="AT178" s="85" t="str">
        <f>HYPERLINK("https://www.youtube.com/channel/UCnUI6Ssl3FclHjuE2tEYN8w")</f>
        <v>https://www.youtube.com/channel/UCnUI6Ssl3FclHjuE2tEYN8w</v>
      </c>
      <c r="AU178" s="80" t="str">
        <f>REPLACE(INDEX(GroupVertices[Group],MATCH(Vertices[[#This Row],[Vertex]],GroupVertices[Vertex],0)),1,1,"")</f>
        <v>1</v>
      </c>
      <c r="AV178" s="49">
        <v>6</v>
      </c>
      <c r="AW178" s="50">
        <v>4.8</v>
      </c>
      <c r="AX178" s="49">
        <v>2</v>
      </c>
      <c r="AY178" s="50">
        <v>1.6</v>
      </c>
      <c r="AZ178" s="49">
        <v>0</v>
      </c>
      <c r="BA178" s="50">
        <v>0</v>
      </c>
      <c r="BB178" s="49">
        <v>117</v>
      </c>
      <c r="BC178" s="50">
        <v>93.6</v>
      </c>
      <c r="BD178" s="49">
        <v>125</v>
      </c>
      <c r="BE178" s="49"/>
      <c r="BF178" s="49"/>
      <c r="BG178" s="49"/>
      <c r="BH178" s="49"/>
      <c r="BI178" s="49"/>
      <c r="BJ178" s="49"/>
      <c r="BK178" s="111" t="s">
        <v>2496</v>
      </c>
      <c r="BL178" s="111" t="s">
        <v>2541</v>
      </c>
      <c r="BM178" s="111" t="s">
        <v>2684</v>
      </c>
      <c r="BN178" s="111" t="s">
        <v>2684</v>
      </c>
      <c r="BO178" s="2"/>
      <c r="BP178" s="3"/>
      <c r="BQ178" s="3"/>
      <c r="BR178" s="3"/>
      <c r="BS178" s="3"/>
    </row>
    <row r="179" spans="1:71" ht="15">
      <c r="A179" s="65" t="s">
        <v>495</v>
      </c>
      <c r="B179" s="66"/>
      <c r="C179" s="66"/>
      <c r="D179" s="67">
        <v>150</v>
      </c>
      <c r="E179" s="69"/>
      <c r="F179" s="103" t="str">
        <f>HYPERLINK("https://yt3.ggpht.com/ytc/AKedOLSRHCIEzdyLJTbw5avZ-9n_yOb9Oc9PK0-2GfViKkM=s88-c-k-c0x00ffffff-no-rj")</f>
        <v>https://yt3.ggpht.com/ytc/AKedOLSRHCIEzdyLJTbw5avZ-9n_yOb9Oc9PK0-2GfViKkM=s88-c-k-c0x00ffffff-no-rj</v>
      </c>
      <c r="G179" s="66"/>
      <c r="H179" s="70" t="s">
        <v>1008</v>
      </c>
      <c r="I179" s="71"/>
      <c r="J179" s="71" t="s">
        <v>159</v>
      </c>
      <c r="K179" s="70" t="s">
        <v>1008</v>
      </c>
      <c r="L179" s="74">
        <v>1</v>
      </c>
      <c r="M179" s="75">
        <v>1539.58740234375</v>
      </c>
      <c r="N179" s="75">
        <v>4022.76611328125</v>
      </c>
      <c r="O179" s="76"/>
      <c r="P179" s="77"/>
      <c r="Q179" s="77"/>
      <c r="R179" s="89"/>
      <c r="S179" s="49">
        <v>2</v>
      </c>
      <c r="T179" s="49">
        <v>2</v>
      </c>
      <c r="U179" s="50">
        <v>0</v>
      </c>
      <c r="V179" s="50">
        <v>0.189881</v>
      </c>
      <c r="W179" s="50">
        <v>0.090956</v>
      </c>
      <c r="X179" s="50">
        <v>0.004188</v>
      </c>
      <c r="Y179" s="50">
        <v>0</v>
      </c>
      <c r="Z179" s="50">
        <v>1</v>
      </c>
      <c r="AA179" s="72">
        <v>179</v>
      </c>
      <c r="AB179" s="72"/>
      <c r="AC179" s="73"/>
      <c r="AD179" s="80" t="s">
        <v>1008</v>
      </c>
      <c r="AE179" s="80"/>
      <c r="AF179" s="80"/>
      <c r="AG179" s="80"/>
      <c r="AH179" s="80"/>
      <c r="AI179" s="80"/>
      <c r="AJ179" s="87">
        <v>41410.134988425925</v>
      </c>
      <c r="AK179" s="85" t="str">
        <f>HYPERLINK("https://yt3.ggpht.com/ytc/AKedOLSRHCIEzdyLJTbw5avZ-9n_yOb9Oc9PK0-2GfViKkM=s88-c-k-c0x00ffffff-no-rj")</f>
        <v>https://yt3.ggpht.com/ytc/AKedOLSRHCIEzdyLJTbw5avZ-9n_yOb9Oc9PK0-2GfViKkM=s88-c-k-c0x00ffffff-no-rj</v>
      </c>
      <c r="AL179" s="80">
        <v>69</v>
      </c>
      <c r="AM179" s="80">
        <v>0</v>
      </c>
      <c r="AN179" s="80">
        <v>1</v>
      </c>
      <c r="AO179" s="80" t="b">
        <v>0</v>
      </c>
      <c r="AP179" s="80">
        <v>3</v>
      </c>
      <c r="AQ179" s="80"/>
      <c r="AR179" s="80"/>
      <c r="AS179" s="80" t="s">
        <v>1376</v>
      </c>
      <c r="AT179" s="85" t="str">
        <f>HYPERLINK("https://www.youtube.com/channel/UC85OOjTRUfgLKNWTMIvPp-Q")</f>
        <v>https://www.youtube.com/channel/UC85OOjTRUfgLKNWTMIvPp-Q</v>
      </c>
      <c r="AU179" s="80" t="str">
        <f>REPLACE(INDEX(GroupVertices[Group],MATCH(Vertices[[#This Row],[Vertex]],GroupVertices[Vertex],0)),1,1,"")</f>
        <v>1</v>
      </c>
      <c r="AV179" s="49">
        <v>1</v>
      </c>
      <c r="AW179" s="50">
        <v>4.3478260869565215</v>
      </c>
      <c r="AX179" s="49">
        <v>1</v>
      </c>
      <c r="AY179" s="50">
        <v>4.3478260869565215</v>
      </c>
      <c r="AZ179" s="49">
        <v>0</v>
      </c>
      <c r="BA179" s="50">
        <v>0</v>
      </c>
      <c r="BB179" s="49">
        <v>21</v>
      </c>
      <c r="BC179" s="50">
        <v>91.30434782608695</v>
      </c>
      <c r="BD179" s="49">
        <v>23</v>
      </c>
      <c r="BE179" s="49"/>
      <c r="BF179" s="49"/>
      <c r="BG179" s="49"/>
      <c r="BH179" s="49"/>
      <c r="BI179" s="49"/>
      <c r="BJ179" s="49"/>
      <c r="BK179" s="111" t="s">
        <v>2497</v>
      </c>
      <c r="BL179" s="111" t="s">
        <v>2497</v>
      </c>
      <c r="BM179" s="111" t="s">
        <v>2685</v>
      </c>
      <c r="BN179" s="111" t="s">
        <v>2685</v>
      </c>
      <c r="BO179" s="2"/>
      <c r="BP179" s="3"/>
      <c r="BQ179" s="3"/>
      <c r="BR179" s="3"/>
      <c r="BS179" s="3"/>
    </row>
    <row r="180" spans="1:71" ht="15">
      <c r="A180" s="65" t="s">
        <v>496</v>
      </c>
      <c r="B180" s="66"/>
      <c r="C180" s="66"/>
      <c r="D180" s="67">
        <v>150</v>
      </c>
      <c r="E180" s="69"/>
      <c r="F180" s="103" t="str">
        <f>HYPERLINK("https://yt3.ggpht.com/ytc/AKedOLTr1qrAxfOYuje5HBk1IIrcG1q79eyo6vHg8g=s88-c-k-c0x00ffffff-no-rj")</f>
        <v>https://yt3.ggpht.com/ytc/AKedOLTr1qrAxfOYuje5HBk1IIrcG1q79eyo6vHg8g=s88-c-k-c0x00ffffff-no-rj</v>
      </c>
      <c r="G180" s="66"/>
      <c r="H180" s="70" t="s">
        <v>1009</v>
      </c>
      <c r="I180" s="71"/>
      <c r="J180" s="71" t="s">
        <v>159</v>
      </c>
      <c r="K180" s="70" t="s">
        <v>1009</v>
      </c>
      <c r="L180" s="74">
        <v>1</v>
      </c>
      <c r="M180" s="75">
        <v>1459.9580078125</v>
      </c>
      <c r="N180" s="75">
        <v>7914.2255859375</v>
      </c>
      <c r="O180" s="76"/>
      <c r="P180" s="77"/>
      <c r="Q180" s="77"/>
      <c r="R180" s="89"/>
      <c r="S180" s="49">
        <v>0</v>
      </c>
      <c r="T180" s="49">
        <v>1</v>
      </c>
      <c r="U180" s="50">
        <v>0</v>
      </c>
      <c r="V180" s="50">
        <v>0.189881</v>
      </c>
      <c r="W180" s="50">
        <v>0.080745</v>
      </c>
      <c r="X180" s="50">
        <v>0.003874</v>
      </c>
      <c r="Y180" s="50">
        <v>0</v>
      </c>
      <c r="Z180" s="50">
        <v>0</v>
      </c>
      <c r="AA180" s="72">
        <v>180</v>
      </c>
      <c r="AB180" s="72"/>
      <c r="AC180" s="73"/>
      <c r="AD180" s="80" t="s">
        <v>1009</v>
      </c>
      <c r="AE180" s="80"/>
      <c r="AF180" s="80"/>
      <c r="AG180" s="80"/>
      <c r="AH180" s="80"/>
      <c r="AI180" s="80"/>
      <c r="AJ180" s="87">
        <v>40816.670798611114</v>
      </c>
      <c r="AK180" s="85" t="str">
        <f>HYPERLINK("https://yt3.ggpht.com/ytc/AKedOLTr1qrAxfOYuje5HBk1IIrcG1q79eyo6vHg8g=s88-c-k-c0x00ffffff-no-rj")</f>
        <v>https://yt3.ggpht.com/ytc/AKedOLTr1qrAxfOYuje5HBk1IIrcG1q79eyo6vHg8g=s88-c-k-c0x00ffffff-no-rj</v>
      </c>
      <c r="AL180" s="80">
        <v>0</v>
      </c>
      <c r="AM180" s="80">
        <v>0</v>
      </c>
      <c r="AN180" s="80">
        <v>0</v>
      </c>
      <c r="AO180" s="80" t="b">
        <v>0</v>
      </c>
      <c r="AP180" s="80">
        <v>0</v>
      </c>
      <c r="AQ180" s="80"/>
      <c r="AR180" s="80"/>
      <c r="AS180" s="80" t="s">
        <v>1376</v>
      </c>
      <c r="AT180" s="85" t="str">
        <f>HYPERLINK("https://www.youtube.com/channel/UC4JxISL4zq6bR8fkL0zzxrA")</f>
        <v>https://www.youtube.com/channel/UC4JxISL4zq6bR8fkL0zzxrA</v>
      </c>
      <c r="AU180" s="80" t="str">
        <f>REPLACE(INDEX(GroupVertices[Group],MATCH(Vertices[[#This Row],[Vertex]],GroupVertices[Vertex],0)),1,1,"")</f>
        <v>1</v>
      </c>
      <c r="AV180" s="49">
        <v>1</v>
      </c>
      <c r="AW180" s="50">
        <v>2.9411764705882355</v>
      </c>
      <c r="AX180" s="49">
        <v>0</v>
      </c>
      <c r="AY180" s="50">
        <v>0</v>
      </c>
      <c r="AZ180" s="49">
        <v>0</v>
      </c>
      <c r="BA180" s="50">
        <v>0</v>
      </c>
      <c r="BB180" s="49">
        <v>33</v>
      </c>
      <c r="BC180" s="50">
        <v>97.05882352941177</v>
      </c>
      <c r="BD180" s="49">
        <v>34</v>
      </c>
      <c r="BE180" s="49"/>
      <c r="BF180" s="49"/>
      <c r="BG180" s="49"/>
      <c r="BH180" s="49"/>
      <c r="BI180" s="49"/>
      <c r="BJ180" s="49"/>
      <c r="BK180" s="111" t="s">
        <v>2498</v>
      </c>
      <c r="BL180" s="111" t="s">
        <v>2498</v>
      </c>
      <c r="BM180" s="111" t="s">
        <v>2686</v>
      </c>
      <c r="BN180" s="111" t="s">
        <v>2686</v>
      </c>
      <c r="BO180" s="2"/>
      <c r="BP180" s="3"/>
      <c r="BQ180" s="3"/>
      <c r="BR180" s="3"/>
      <c r="BS180" s="3"/>
    </row>
    <row r="181" spans="1:71" ht="15">
      <c r="A181" s="65" t="s">
        <v>497</v>
      </c>
      <c r="B181" s="66"/>
      <c r="C181" s="66"/>
      <c r="D181" s="67">
        <v>1000</v>
      </c>
      <c r="E181" s="69"/>
      <c r="F181" s="103" t="str">
        <f>HYPERLINK("https://yt3.ggpht.com/ytc/AKedOLSmhdAgIOO2wXhS6_2K7gU-32kl-PbQNfrIlDYXxQ=s88-c-k-c0x00ffffff-no-rj")</f>
        <v>https://yt3.ggpht.com/ytc/AKedOLSmhdAgIOO2wXhS6_2K7gU-32kl-PbQNfrIlDYXxQ=s88-c-k-c0x00ffffff-no-rj</v>
      </c>
      <c r="G181" s="66"/>
      <c r="H181" s="70" t="s">
        <v>1010</v>
      </c>
      <c r="I181" s="71"/>
      <c r="J181" s="71" t="s">
        <v>75</v>
      </c>
      <c r="K181" s="70" t="s">
        <v>1010</v>
      </c>
      <c r="L181" s="74">
        <v>1558.6615976063556</v>
      </c>
      <c r="M181" s="75">
        <v>5859.28662109375</v>
      </c>
      <c r="N181" s="75">
        <v>5325.7001953125</v>
      </c>
      <c r="O181" s="76"/>
      <c r="P181" s="77"/>
      <c r="Q181" s="77"/>
      <c r="R181" s="89"/>
      <c r="S181" s="49">
        <v>0</v>
      </c>
      <c r="T181" s="49">
        <v>2</v>
      </c>
      <c r="U181" s="50">
        <v>2160</v>
      </c>
      <c r="V181" s="50">
        <v>0.198996</v>
      </c>
      <c r="W181" s="50">
        <v>0.082039</v>
      </c>
      <c r="X181" s="50">
        <v>0.004009</v>
      </c>
      <c r="Y181" s="50">
        <v>0</v>
      </c>
      <c r="Z181" s="50">
        <v>0</v>
      </c>
      <c r="AA181" s="72">
        <v>181</v>
      </c>
      <c r="AB181" s="72"/>
      <c r="AC181" s="73"/>
      <c r="AD181" s="80" t="s">
        <v>1010</v>
      </c>
      <c r="AE181" s="80"/>
      <c r="AF181" s="80"/>
      <c r="AG181" s="80"/>
      <c r="AH181" s="80"/>
      <c r="AI181" s="80"/>
      <c r="AJ181" s="87">
        <v>40840.78670138889</v>
      </c>
      <c r="AK181" s="85" t="str">
        <f>HYPERLINK("https://yt3.ggpht.com/ytc/AKedOLSmhdAgIOO2wXhS6_2K7gU-32kl-PbQNfrIlDYXxQ=s88-c-k-c0x00ffffff-no-rj")</f>
        <v>https://yt3.ggpht.com/ytc/AKedOLSmhdAgIOO2wXhS6_2K7gU-32kl-PbQNfrIlDYXxQ=s88-c-k-c0x00ffffff-no-rj</v>
      </c>
      <c r="AL181" s="80">
        <v>0</v>
      </c>
      <c r="AM181" s="80">
        <v>0</v>
      </c>
      <c r="AN181" s="80">
        <v>0</v>
      </c>
      <c r="AO181" s="80" t="b">
        <v>0</v>
      </c>
      <c r="AP181" s="80">
        <v>0</v>
      </c>
      <c r="AQ181" s="80"/>
      <c r="AR181" s="80"/>
      <c r="AS181" s="80" t="s">
        <v>1376</v>
      </c>
      <c r="AT181" s="85" t="str">
        <f>HYPERLINK("https://www.youtube.com/channel/UCuQ_8nkWLkfwU7LROEKCzfg")</f>
        <v>https://www.youtube.com/channel/UCuQ_8nkWLkfwU7LROEKCzfg</v>
      </c>
      <c r="AU181" s="80" t="str">
        <f>REPLACE(INDEX(GroupVertices[Group],MATCH(Vertices[[#This Row],[Vertex]],GroupVertices[Vertex],0)),1,1,"")</f>
        <v>7</v>
      </c>
      <c r="AV181" s="49">
        <v>14</v>
      </c>
      <c r="AW181" s="50">
        <v>3.835616438356164</v>
      </c>
      <c r="AX181" s="49">
        <v>6</v>
      </c>
      <c r="AY181" s="50">
        <v>1.643835616438356</v>
      </c>
      <c r="AZ181" s="49">
        <v>0</v>
      </c>
      <c r="BA181" s="50">
        <v>0</v>
      </c>
      <c r="BB181" s="49">
        <v>345</v>
      </c>
      <c r="BC181" s="50">
        <v>94.52054794520548</v>
      </c>
      <c r="BD181" s="49">
        <v>365</v>
      </c>
      <c r="BE181" s="49"/>
      <c r="BF181" s="49"/>
      <c r="BG181" s="49"/>
      <c r="BH181" s="49"/>
      <c r="BI181" s="49"/>
      <c r="BJ181" s="49"/>
      <c r="BK181" s="111" t="s">
        <v>2499</v>
      </c>
      <c r="BL181" s="111" t="s">
        <v>2542</v>
      </c>
      <c r="BM181" s="111" t="s">
        <v>2687</v>
      </c>
      <c r="BN181" s="111" t="s">
        <v>2719</v>
      </c>
      <c r="BO181" s="2"/>
      <c r="BP181" s="3"/>
      <c r="BQ181" s="3"/>
      <c r="BR181" s="3"/>
      <c r="BS181" s="3"/>
    </row>
    <row r="182" spans="1:71" ht="15">
      <c r="A182" s="65" t="s">
        <v>498</v>
      </c>
      <c r="B182" s="66"/>
      <c r="C182" s="66"/>
      <c r="D182" s="67">
        <v>150</v>
      </c>
      <c r="E182" s="69"/>
      <c r="F182" s="103" t="str">
        <f>HYPERLINK("https://yt3.ggpht.com/ytc/AKedOLR0aZSNMH6Mi2tutVKcGe6pk2WM9EcgwNbC09aMAw=s88-c-k-c0x00ffffff-no-rj")</f>
        <v>https://yt3.ggpht.com/ytc/AKedOLR0aZSNMH6Mi2tutVKcGe6pk2WM9EcgwNbC09aMAw=s88-c-k-c0x00ffffff-no-rj</v>
      </c>
      <c r="G182" s="66"/>
      <c r="H182" s="70" t="s">
        <v>1011</v>
      </c>
      <c r="I182" s="71"/>
      <c r="J182" s="71" t="s">
        <v>159</v>
      </c>
      <c r="K182" s="70" t="s">
        <v>1011</v>
      </c>
      <c r="L182" s="74">
        <v>1</v>
      </c>
      <c r="M182" s="75">
        <v>2695.277099609375</v>
      </c>
      <c r="N182" s="75">
        <v>8358.888671875</v>
      </c>
      <c r="O182" s="76"/>
      <c r="P182" s="77"/>
      <c r="Q182" s="77"/>
      <c r="R182" s="89"/>
      <c r="S182" s="49">
        <v>0</v>
      </c>
      <c r="T182" s="49">
        <v>1</v>
      </c>
      <c r="U182" s="50">
        <v>0</v>
      </c>
      <c r="V182" s="50">
        <v>0.189881</v>
      </c>
      <c r="W182" s="50">
        <v>0.080745</v>
      </c>
      <c r="X182" s="50">
        <v>0.003874</v>
      </c>
      <c r="Y182" s="50">
        <v>0</v>
      </c>
      <c r="Z182" s="50">
        <v>0</v>
      </c>
      <c r="AA182" s="72">
        <v>182</v>
      </c>
      <c r="AB182" s="72"/>
      <c r="AC182" s="73"/>
      <c r="AD182" s="80" t="s">
        <v>1011</v>
      </c>
      <c r="AE182" s="80"/>
      <c r="AF182" s="80"/>
      <c r="AG182" s="80"/>
      <c r="AH182" s="80"/>
      <c r="AI182" s="80"/>
      <c r="AJ182" s="87">
        <v>40835.25512731481</v>
      </c>
      <c r="AK182" s="85" t="str">
        <f>HYPERLINK("https://yt3.ggpht.com/ytc/AKedOLR0aZSNMH6Mi2tutVKcGe6pk2WM9EcgwNbC09aMAw=s88-c-k-c0x00ffffff-no-rj")</f>
        <v>https://yt3.ggpht.com/ytc/AKedOLR0aZSNMH6Mi2tutVKcGe6pk2WM9EcgwNbC09aMAw=s88-c-k-c0x00ffffff-no-rj</v>
      </c>
      <c r="AL182" s="80">
        <v>0</v>
      </c>
      <c r="AM182" s="80">
        <v>0</v>
      </c>
      <c r="AN182" s="80">
        <v>1</v>
      </c>
      <c r="AO182" s="80" t="b">
        <v>0</v>
      </c>
      <c r="AP182" s="80">
        <v>0</v>
      </c>
      <c r="AQ182" s="80"/>
      <c r="AR182" s="80"/>
      <c r="AS182" s="80" t="s">
        <v>1376</v>
      </c>
      <c r="AT182" s="85" t="str">
        <f>HYPERLINK("https://www.youtube.com/channel/UCxeLD_unYqcF-hMFfpwP8bA")</f>
        <v>https://www.youtube.com/channel/UCxeLD_unYqcF-hMFfpwP8bA</v>
      </c>
      <c r="AU182" s="80" t="str">
        <f>REPLACE(INDEX(GroupVertices[Group],MATCH(Vertices[[#This Row],[Vertex]],GroupVertices[Vertex],0)),1,1,"")</f>
        <v>1</v>
      </c>
      <c r="AV182" s="49">
        <v>4</v>
      </c>
      <c r="AW182" s="50">
        <v>4.395604395604396</v>
      </c>
      <c r="AX182" s="49">
        <v>0</v>
      </c>
      <c r="AY182" s="50">
        <v>0</v>
      </c>
      <c r="AZ182" s="49">
        <v>0</v>
      </c>
      <c r="BA182" s="50">
        <v>0</v>
      </c>
      <c r="BB182" s="49">
        <v>87</v>
      </c>
      <c r="BC182" s="50">
        <v>95.6043956043956</v>
      </c>
      <c r="BD182" s="49">
        <v>91</v>
      </c>
      <c r="BE182" s="49"/>
      <c r="BF182" s="49"/>
      <c r="BG182" s="49"/>
      <c r="BH182" s="49"/>
      <c r="BI182" s="49"/>
      <c r="BJ182" s="49"/>
      <c r="BK182" s="111" t="s">
        <v>2500</v>
      </c>
      <c r="BL182" s="111" t="s">
        <v>2500</v>
      </c>
      <c r="BM182" s="111" t="s">
        <v>2688</v>
      </c>
      <c r="BN182" s="111" t="s">
        <v>2688</v>
      </c>
      <c r="BO182" s="2"/>
      <c r="BP182" s="3"/>
      <c r="BQ182" s="3"/>
      <c r="BR182" s="3"/>
      <c r="BS182" s="3"/>
    </row>
    <row r="183" spans="1:71" ht="15">
      <c r="A183" s="65" t="s">
        <v>499</v>
      </c>
      <c r="B183" s="66"/>
      <c r="C183" s="66"/>
      <c r="D183" s="67">
        <v>150</v>
      </c>
      <c r="E183" s="69"/>
      <c r="F183" s="103" t="str">
        <f>HYPERLINK("https://yt3.ggpht.com/ytc/AKedOLQ2FrfDMpR6knAduIAba_CBElKs-PUvl0taw6XNJ4M=s88-c-k-c0x00ffffff-no-rj")</f>
        <v>https://yt3.ggpht.com/ytc/AKedOLQ2FrfDMpR6knAduIAba_CBElKs-PUvl0taw6XNJ4M=s88-c-k-c0x00ffffff-no-rj</v>
      </c>
      <c r="G183" s="66"/>
      <c r="H183" s="70" t="s">
        <v>1012</v>
      </c>
      <c r="I183" s="71"/>
      <c r="J183" s="71" t="s">
        <v>159</v>
      </c>
      <c r="K183" s="70" t="s">
        <v>1012</v>
      </c>
      <c r="L183" s="74">
        <v>1</v>
      </c>
      <c r="M183" s="75">
        <v>1148.3870849609375</v>
      </c>
      <c r="N183" s="75">
        <v>8588.8134765625</v>
      </c>
      <c r="O183" s="76"/>
      <c r="P183" s="77"/>
      <c r="Q183" s="77"/>
      <c r="R183" s="89"/>
      <c r="S183" s="49">
        <v>0</v>
      </c>
      <c r="T183" s="49">
        <v>1</v>
      </c>
      <c r="U183" s="50">
        <v>0</v>
      </c>
      <c r="V183" s="50">
        <v>0.189881</v>
      </c>
      <c r="W183" s="50">
        <v>0.080745</v>
      </c>
      <c r="X183" s="50">
        <v>0.003874</v>
      </c>
      <c r="Y183" s="50">
        <v>0</v>
      </c>
      <c r="Z183" s="50">
        <v>0</v>
      </c>
      <c r="AA183" s="72">
        <v>183</v>
      </c>
      <c r="AB183" s="72"/>
      <c r="AC183" s="73"/>
      <c r="AD183" s="80" t="s">
        <v>1012</v>
      </c>
      <c r="AE183" s="80"/>
      <c r="AF183" s="80"/>
      <c r="AG183" s="80"/>
      <c r="AH183" s="80"/>
      <c r="AI183" s="80"/>
      <c r="AJ183" s="87">
        <v>40705.442557870374</v>
      </c>
      <c r="AK183" s="85" t="str">
        <f>HYPERLINK("https://yt3.ggpht.com/ytc/AKedOLQ2FrfDMpR6knAduIAba_CBElKs-PUvl0taw6XNJ4M=s88-c-k-c0x00ffffff-no-rj")</f>
        <v>https://yt3.ggpht.com/ytc/AKedOLQ2FrfDMpR6knAduIAba_CBElKs-PUvl0taw6XNJ4M=s88-c-k-c0x00ffffff-no-rj</v>
      </c>
      <c r="AL183" s="80">
        <v>11002</v>
      </c>
      <c r="AM183" s="80">
        <v>0</v>
      </c>
      <c r="AN183" s="80">
        <v>31</v>
      </c>
      <c r="AO183" s="80" t="b">
        <v>0</v>
      </c>
      <c r="AP183" s="80">
        <v>3</v>
      </c>
      <c r="AQ183" s="80"/>
      <c r="AR183" s="80"/>
      <c r="AS183" s="80" t="s">
        <v>1376</v>
      </c>
      <c r="AT183" s="85" t="str">
        <f>HYPERLINK("https://www.youtube.com/channel/UC0-d0qMhGZQ1ZpuIZvQGPzA")</f>
        <v>https://www.youtube.com/channel/UC0-d0qMhGZQ1ZpuIZvQGPzA</v>
      </c>
      <c r="AU183" s="80" t="str">
        <f>REPLACE(INDEX(GroupVertices[Group],MATCH(Vertices[[#This Row],[Vertex]],GroupVertices[Vertex],0)),1,1,"")</f>
        <v>1</v>
      </c>
      <c r="AV183" s="49">
        <v>1</v>
      </c>
      <c r="AW183" s="50">
        <v>5</v>
      </c>
      <c r="AX183" s="49">
        <v>0</v>
      </c>
      <c r="AY183" s="50">
        <v>0</v>
      </c>
      <c r="AZ183" s="49">
        <v>0</v>
      </c>
      <c r="BA183" s="50">
        <v>0</v>
      </c>
      <c r="BB183" s="49">
        <v>19</v>
      </c>
      <c r="BC183" s="50">
        <v>95</v>
      </c>
      <c r="BD183" s="49">
        <v>20</v>
      </c>
      <c r="BE183" s="49" t="s">
        <v>2340</v>
      </c>
      <c r="BF183" s="49" t="s">
        <v>2340</v>
      </c>
      <c r="BG183" s="49" t="s">
        <v>1221</v>
      </c>
      <c r="BH183" s="49" t="s">
        <v>1221</v>
      </c>
      <c r="BI183" s="49"/>
      <c r="BJ183" s="49"/>
      <c r="BK183" s="111" t="s">
        <v>2501</v>
      </c>
      <c r="BL183" s="111" t="s">
        <v>2501</v>
      </c>
      <c r="BM183" s="111" t="s">
        <v>2689</v>
      </c>
      <c r="BN183" s="111" t="s">
        <v>2689</v>
      </c>
      <c r="BO183" s="2"/>
      <c r="BP183" s="3"/>
      <c r="BQ183" s="3"/>
      <c r="BR183" s="3"/>
      <c r="BS183" s="3"/>
    </row>
    <row r="184" spans="1:71" ht="15">
      <c r="A184" s="65" t="s">
        <v>500</v>
      </c>
      <c r="B184" s="66"/>
      <c r="C184" s="66"/>
      <c r="D184" s="67">
        <v>150</v>
      </c>
      <c r="E184" s="69"/>
      <c r="F184" s="103" t="str">
        <f>HYPERLINK("https://yt3.ggpht.com/ytc/AKedOLTctU43mTorZLbzz8UQ4VKH0ZkFzSeFk5XtPQ3APq0=s88-c-k-c0x00ffffff-no-rj")</f>
        <v>https://yt3.ggpht.com/ytc/AKedOLTctU43mTorZLbzz8UQ4VKH0ZkFzSeFk5XtPQ3APq0=s88-c-k-c0x00ffffff-no-rj</v>
      </c>
      <c r="G184" s="66"/>
      <c r="H184" s="70" t="s">
        <v>1013</v>
      </c>
      <c r="I184" s="71"/>
      <c r="J184" s="71" t="s">
        <v>159</v>
      </c>
      <c r="K184" s="70" t="s">
        <v>1013</v>
      </c>
      <c r="L184" s="74">
        <v>1</v>
      </c>
      <c r="M184" s="75">
        <v>1094.2821044921875</v>
      </c>
      <c r="N184" s="75">
        <v>3402.94482421875</v>
      </c>
      <c r="O184" s="76"/>
      <c r="P184" s="77"/>
      <c r="Q184" s="77"/>
      <c r="R184" s="89"/>
      <c r="S184" s="49">
        <v>0</v>
      </c>
      <c r="T184" s="49">
        <v>1</v>
      </c>
      <c r="U184" s="50">
        <v>0</v>
      </c>
      <c r="V184" s="50">
        <v>0.189881</v>
      </c>
      <c r="W184" s="50">
        <v>0.080745</v>
      </c>
      <c r="X184" s="50">
        <v>0.003874</v>
      </c>
      <c r="Y184" s="50">
        <v>0</v>
      </c>
      <c r="Z184" s="50">
        <v>0</v>
      </c>
      <c r="AA184" s="72">
        <v>184</v>
      </c>
      <c r="AB184" s="72"/>
      <c r="AC184" s="73"/>
      <c r="AD184" s="80" t="s">
        <v>1013</v>
      </c>
      <c r="AE184" s="80"/>
      <c r="AF184" s="80"/>
      <c r="AG184" s="80"/>
      <c r="AH184" s="80"/>
      <c r="AI184" s="80" t="s">
        <v>1364</v>
      </c>
      <c r="AJ184" s="87">
        <v>39222.33168981481</v>
      </c>
      <c r="AK184" s="85" t="str">
        <f>HYPERLINK("https://yt3.ggpht.com/ytc/AKedOLTctU43mTorZLbzz8UQ4VKH0ZkFzSeFk5XtPQ3APq0=s88-c-k-c0x00ffffff-no-rj")</f>
        <v>https://yt3.ggpht.com/ytc/AKedOLTctU43mTorZLbzz8UQ4VKH0ZkFzSeFk5XtPQ3APq0=s88-c-k-c0x00ffffff-no-rj</v>
      </c>
      <c r="AL184" s="80">
        <v>1923</v>
      </c>
      <c r="AM184" s="80">
        <v>0</v>
      </c>
      <c r="AN184" s="80">
        <v>39</v>
      </c>
      <c r="AO184" s="80" t="b">
        <v>0</v>
      </c>
      <c r="AP184" s="80">
        <v>30</v>
      </c>
      <c r="AQ184" s="80"/>
      <c r="AR184" s="80"/>
      <c r="AS184" s="80" t="s">
        <v>1376</v>
      </c>
      <c r="AT184" s="85" t="str">
        <f>HYPERLINK("https://www.youtube.com/channel/UCQhhxor95wtiDxuQdQrljCA")</f>
        <v>https://www.youtube.com/channel/UCQhhxor95wtiDxuQdQrljCA</v>
      </c>
      <c r="AU184" s="80" t="str">
        <f>REPLACE(INDEX(GroupVertices[Group],MATCH(Vertices[[#This Row],[Vertex]],GroupVertices[Vertex],0)),1,1,"")</f>
        <v>1</v>
      </c>
      <c r="AV184" s="49">
        <v>2</v>
      </c>
      <c r="AW184" s="50">
        <v>33.333333333333336</v>
      </c>
      <c r="AX184" s="49">
        <v>0</v>
      </c>
      <c r="AY184" s="50">
        <v>0</v>
      </c>
      <c r="AZ184" s="49">
        <v>0</v>
      </c>
      <c r="BA184" s="50">
        <v>0</v>
      </c>
      <c r="BB184" s="49">
        <v>4</v>
      </c>
      <c r="BC184" s="50">
        <v>66.66666666666667</v>
      </c>
      <c r="BD184" s="49">
        <v>6</v>
      </c>
      <c r="BE184" s="49"/>
      <c r="BF184" s="49"/>
      <c r="BG184" s="49"/>
      <c r="BH184" s="49"/>
      <c r="BI184" s="49"/>
      <c r="BJ184" s="49"/>
      <c r="BK184" s="111" t="s">
        <v>1454</v>
      </c>
      <c r="BL184" s="111" t="s">
        <v>1454</v>
      </c>
      <c r="BM184" s="111" t="s">
        <v>1239</v>
      </c>
      <c r="BN184" s="111" t="s">
        <v>1239</v>
      </c>
      <c r="BO184" s="2"/>
      <c r="BP184" s="3"/>
      <c r="BQ184" s="3"/>
      <c r="BR184" s="3"/>
      <c r="BS184" s="3"/>
    </row>
    <row r="185" spans="1:71" ht="15">
      <c r="A185" s="65" t="s">
        <v>501</v>
      </c>
      <c r="B185" s="66"/>
      <c r="C185" s="66"/>
      <c r="D185" s="67">
        <v>150</v>
      </c>
      <c r="E185" s="69"/>
      <c r="F185" s="103" t="str">
        <f>HYPERLINK("https://yt3.ggpht.com/ytc/AKedOLQm7PAg_jfn3LmmhF7cVPCQd74v4JlczAujnpBoVw=s88-c-k-c0x00ffffff-no-rj")</f>
        <v>https://yt3.ggpht.com/ytc/AKedOLQm7PAg_jfn3LmmhF7cVPCQd74v4JlczAujnpBoVw=s88-c-k-c0x00ffffff-no-rj</v>
      </c>
      <c r="G185" s="66"/>
      <c r="H185" s="70" t="s">
        <v>1014</v>
      </c>
      <c r="I185" s="71"/>
      <c r="J185" s="71" t="s">
        <v>159</v>
      </c>
      <c r="K185" s="70" t="s">
        <v>1014</v>
      </c>
      <c r="L185" s="74">
        <v>1</v>
      </c>
      <c r="M185" s="75">
        <v>2233.540771484375</v>
      </c>
      <c r="N185" s="75">
        <v>2924.188720703125</v>
      </c>
      <c r="O185" s="76"/>
      <c r="P185" s="77"/>
      <c r="Q185" s="77"/>
      <c r="R185" s="89"/>
      <c r="S185" s="49">
        <v>0</v>
      </c>
      <c r="T185" s="49">
        <v>1</v>
      </c>
      <c r="U185" s="50">
        <v>0</v>
      </c>
      <c r="V185" s="50">
        <v>0.189881</v>
      </c>
      <c r="W185" s="50">
        <v>0.080745</v>
      </c>
      <c r="X185" s="50">
        <v>0.003874</v>
      </c>
      <c r="Y185" s="50">
        <v>0</v>
      </c>
      <c r="Z185" s="50">
        <v>0</v>
      </c>
      <c r="AA185" s="72">
        <v>185</v>
      </c>
      <c r="AB185" s="72"/>
      <c r="AC185" s="73"/>
      <c r="AD185" s="80" t="s">
        <v>1014</v>
      </c>
      <c r="AE185" s="80"/>
      <c r="AF185" s="80"/>
      <c r="AG185" s="80"/>
      <c r="AH185" s="80"/>
      <c r="AI185" s="80"/>
      <c r="AJ185" s="87">
        <v>41290.19295138889</v>
      </c>
      <c r="AK185" s="85" t="str">
        <f>HYPERLINK("https://yt3.ggpht.com/ytc/AKedOLQm7PAg_jfn3LmmhF7cVPCQd74v4JlczAujnpBoVw=s88-c-k-c0x00ffffff-no-rj")</f>
        <v>https://yt3.ggpht.com/ytc/AKedOLQm7PAg_jfn3LmmhF7cVPCQd74v4JlczAujnpBoVw=s88-c-k-c0x00ffffff-no-rj</v>
      </c>
      <c r="AL185" s="80">
        <v>23</v>
      </c>
      <c r="AM185" s="80">
        <v>0</v>
      </c>
      <c r="AN185" s="80">
        <v>5</v>
      </c>
      <c r="AO185" s="80" t="b">
        <v>0</v>
      </c>
      <c r="AP185" s="80">
        <v>1</v>
      </c>
      <c r="AQ185" s="80"/>
      <c r="AR185" s="80"/>
      <c r="AS185" s="80" t="s">
        <v>1376</v>
      </c>
      <c r="AT185" s="85" t="str">
        <f>HYPERLINK("https://www.youtube.com/channel/UCP6YGSaCdnBaF7dShuCR0aA")</f>
        <v>https://www.youtube.com/channel/UCP6YGSaCdnBaF7dShuCR0aA</v>
      </c>
      <c r="AU185" s="80" t="str">
        <f>REPLACE(INDEX(GroupVertices[Group],MATCH(Vertices[[#This Row],[Vertex]],GroupVertices[Vertex],0)),1,1,"")</f>
        <v>1</v>
      </c>
      <c r="AV185" s="49">
        <v>0</v>
      </c>
      <c r="AW185" s="50">
        <v>0</v>
      </c>
      <c r="AX185" s="49">
        <v>0</v>
      </c>
      <c r="AY185" s="50">
        <v>0</v>
      </c>
      <c r="AZ185" s="49">
        <v>0</v>
      </c>
      <c r="BA185" s="50">
        <v>0</v>
      </c>
      <c r="BB185" s="49">
        <v>6</v>
      </c>
      <c r="BC185" s="50">
        <v>100</v>
      </c>
      <c r="BD185" s="49">
        <v>6</v>
      </c>
      <c r="BE185" s="49"/>
      <c r="BF185" s="49"/>
      <c r="BG185" s="49"/>
      <c r="BH185" s="49"/>
      <c r="BI185" s="49"/>
      <c r="BJ185" s="49"/>
      <c r="BK185" s="111" t="s">
        <v>2502</v>
      </c>
      <c r="BL185" s="111" t="s">
        <v>2502</v>
      </c>
      <c r="BM185" s="111" t="s">
        <v>2690</v>
      </c>
      <c r="BN185" s="111" t="s">
        <v>2690</v>
      </c>
      <c r="BO185" s="2"/>
      <c r="BP185" s="3"/>
      <c r="BQ185" s="3"/>
      <c r="BR185" s="3"/>
      <c r="BS185" s="3"/>
    </row>
    <row r="186" spans="1:71" ht="15">
      <c r="A186" s="65" t="s">
        <v>502</v>
      </c>
      <c r="B186" s="66"/>
      <c r="C186" s="66"/>
      <c r="D186" s="67">
        <v>150</v>
      </c>
      <c r="E186" s="69"/>
      <c r="F186" s="103" t="str">
        <f>HYPERLINK("https://yt3.ggpht.com/ytc/AKedOLTRkcOo_5_UievxXFFcqkF50r_rxv-PR2Ji356rEg=s88-c-k-c0x00ffffff-no-rj")</f>
        <v>https://yt3.ggpht.com/ytc/AKedOLTRkcOo_5_UievxXFFcqkF50r_rxv-PR2Ji356rEg=s88-c-k-c0x00ffffff-no-rj</v>
      </c>
      <c r="G186" s="66"/>
      <c r="H186" s="70" t="s">
        <v>1015</v>
      </c>
      <c r="I186" s="71"/>
      <c r="J186" s="71" t="s">
        <v>159</v>
      </c>
      <c r="K186" s="70" t="s">
        <v>1015</v>
      </c>
      <c r="L186" s="74">
        <v>1</v>
      </c>
      <c r="M186" s="75">
        <v>926.4900512695312</v>
      </c>
      <c r="N186" s="75">
        <v>5110.96337890625</v>
      </c>
      <c r="O186" s="76"/>
      <c r="P186" s="77"/>
      <c r="Q186" s="77"/>
      <c r="R186" s="89"/>
      <c r="S186" s="49">
        <v>0</v>
      </c>
      <c r="T186" s="49">
        <v>1</v>
      </c>
      <c r="U186" s="50">
        <v>0</v>
      </c>
      <c r="V186" s="50">
        <v>0.189881</v>
      </c>
      <c r="W186" s="50">
        <v>0.080745</v>
      </c>
      <c r="X186" s="50">
        <v>0.003874</v>
      </c>
      <c r="Y186" s="50">
        <v>0</v>
      </c>
      <c r="Z186" s="50">
        <v>0</v>
      </c>
      <c r="AA186" s="72">
        <v>186</v>
      </c>
      <c r="AB186" s="72"/>
      <c r="AC186" s="73"/>
      <c r="AD186" s="80" t="s">
        <v>1015</v>
      </c>
      <c r="AE186" s="80"/>
      <c r="AF186" s="80"/>
      <c r="AG186" s="80"/>
      <c r="AH186" s="80"/>
      <c r="AI186" s="80"/>
      <c r="AJ186" s="87">
        <v>41283.41527777778</v>
      </c>
      <c r="AK186" s="85" t="str">
        <f>HYPERLINK("https://yt3.ggpht.com/ytc/AKedOLTRkcOo_5_UievxXFFcqkF50r_rxv-PR2Ji356rEg=s88-c-k-c0x00ffffff-no-rj")</f>
        <v>https://yt3.ggpht.com/ytc/AKedOLTRkcOo_5_UievxXFFcqkF50r_rxv-PR2Ji356rEg=s88-c-k-c0x00ffffff-no-rj</v>
      </c>
      <c r="AL186" s="80">
        <v>1725</v>
      </c>
      <c r="AM186" s="80">
        <v>0</v>
      </c>
      <c r="AN186" s="80">
        <v>9</v>
      </c>
      <c r="AO186" s="80" t="b">
        <v>0</v>
      </c>
      <c r="AP186" s="80">
        <v>1</v>
      </c>
      <c r="AQ186" s="80"/>
      <c r="AR186" s="80"/>
      <c r="AS186" s="80" t="s">
        <v>1376</v>
      </c>
      <c r="AT186" s="85" t="str">
        <f>HYPERLINK("https://www.youtube.com/channel/UCTESLPLt2_wAX3ltGs3w09w")</f>
        <v>https://www.youtube.com/channel/UCTESLPLt2_wAX3ltGs3w09w</v>
      </c>
      <c r="AU186" s="80" t="str">
        <f>REPLACE(INDEX(GroupVertices[Group],MATCH(Vertices[[#This Row],[Vertex]],GroupVertices[Vertex],0)),1,1,"")</f>
        <v>1</v>
      </c>
      <c r="AV186" s="49">
        <v>1</v>
      </c>
      <c r="AW186" s="50">
        <v>20</v>
      </c>
      <c r="AX186" s="49">
        <v>0</v>
      </c>
      <c r="AY186" s="50">
        <v>0</v>
      </c>
      <c r="AZ186" s="49">
        <v>0</v>
      </c>
      <c r="BA186" s="50">
        <v>0</v>
      </c>
      <c r="BB186" s="49">
        <v>4</v>
      </c>
      <c r="BC186" s="50">
        <v>80</v>
      </c>
      <c r="BD186" s="49">
        <v>5</v>
      </c>
      <c r="BE186" s="49"/>
      <c r="BF186" s="49"/>
      <c r="BG186" s="49"/>
      <c r="BH186" s="49"/>
      <c r="BI186" s="49"/>
      <c r="BJ186" s="49"/>
      <c r="BK186" s="111" t="s">
        <v>2503</v>
      </c>
      <c r="BL186" s="111" t="s">
        <v>2503</v>
      </c>
      <c r="BM186" s="111" t="s">
        <v>2691</v>
      </c>
      <c r="BN186" s="111" t="s">
        <v>2691</v>
      </c>
      <c r="BO186" s="2"/>
      <c r="BP186" s="3"/>
      <c r="BQ186" s="3"/>
      <c r="BR186" s="3"/>
      <c r="BS186" s="3"/>
    </row>
    <row r="187" spans="1:71" ht="15">
      <c r="A187" s="65" t="s">
        <v>503</v>
      </c>
      <c r="B187" s="66"/>
      <c r="C187" s="66"/>
      <c r="D187" s="67">
        <v>150</v>
      </c>
      <c r="E187" s="69"/>
      <c r="F187" s="103" t="str">
        <f>HYPERLINK("https://yt3.ggpht.com/ytc/AKedOLTZJkjxGRSh9x1BeSx9QcfIuJde4s1gIzeVyV3biA=s88-c-k-c0x00ffffff-no-rj")</f>
        <v>https://yt3.ggpht.com/ytc/AKedOLTZJkjxGRSh9x1BeSx9QcfIuJde4s1gIzeVyV3biA=s88-c-k-c0x00ffffff-no-rj</v>
      </c>
      <c r="G187" s="66"/>
      <c r="H187" s="70" t="s">
        <v>1016</v>
      </c>
      <c r="I187" s="71"/>
      <c r="J187" s="71" t="s">
        <v>159</v>
      </c>
      <c r="K187" s="70" t="s">
        <v>1016</v>
      </c>
      <c r="L187" s="74">
        <v>1</v>
      </c>
      <c r="M187" s="75">
        <v>2309.686767578125</v>
      </c>
      <c r="N187" s="75">
        <v>5655.9697265625</v>
      </c>
      <c r="O187" s="76"/>
      <c r="P187" s="77"/>
      <c r="Q187" s="77"/>
      <c r="R187" s="89"/>
      <c r="S187" s="49">
        <v>2</v>
      </c>
      <c r="T187" s="49">
        <v>2</v>
      </c>
      <c r="U187" s="50">
        <v>0</v>
      </c>
      <c r="V187" s="50">
        <v>0.189881</v>
      </c>
      <c r="W187" s="50">
        <v>0.090956</v>
      </c>
      <c r="X187" s="50">
        <v>0.004188</v>
      </c>
      <c r="Y187" s="50">
        <v>0</v>
      </c>
      <c r="Z187" s="50">
        <v>1</v>
      </c>
      <c r="AA187" s="72">
        <v>187</v>
      </c>
      <c r="AB187" s="72"/>
      <c r="AC187" s="73"/>
      <c r="AD187" s="80" t="s">
        <v>1016</v>
      </c>
      <c r="AE187" s="80"/>
      <c r="AF187" s="80"/>
      <c r="AG187" s="80"/>
      <c r="AH187" s="80"/>
      <c r="AI187" s="80"/>
      <c r="AJ187" s="87">
        <v>40852.08201388889</v>
      </c>
      <c r="AK187" s="85" t="str">
        <f>HYPERLINK("https://yt3.ggpht.com/ytc/AKedOLTZJkjxGRSh9x1BeSx9QcfIuJde4s1gIzeVyV3biA=s88-c-k-c0x00ffffff-no-rj")</f>
        <v>https://yt3.ggpht.com/ytc/AKedOLTZJkjxGRSh9x1BeSx9QcfIuJde4s1gIzeVyV3biA=s88-c-k-c0x00ffffff-no-rj</v>
      </c>
      <c r="AL187" s="80">
        <v>200</v>
      </c>
      <c r="AM187" s="80">
        <v>0</v>
      </c>
      <c r="AN187" s="80">
        <v>14</v>
      </c>
      <c r="AO187" s="80" t="b">
        <v>0</v>
      </c>
      <c r="AP187" s="80">
        <v>2</v>
      </c>
      <c r="AQ187" s="80"/>
      <c r="AR187" s="80"/>
      <c r="AS187" s="80" t="s">
        <v>1376</v>
      </c>
      <c r="AT187" s="85" t="str">
        <f>HYPERLINK("https://www.youtube.com/channel/UCshNH5WXvJ70zeeJkMv6jbQ")</f>
        <v>https://www.youtube.com/channel/UCshNH5WXvJ70zeeJkMv6jbQ</v>
      </c>
      <c r="AU187" s="80" t="str">
        <f>REPLACE(INDEX(GroupVertices[Group],MATCH(Vertices[[#This Row],[Vertex]],GroupVertices[Vertex],0)),1,1,"")</f>
        <v>1</v>
      </c>
      <c r="AV187" s="49">
        <v>2</v>
      </c>
      <c r="AW187" s="50">
        <v>3.9215686274509802</v>
      </c>
      <c r="AX187" s="49">
        <v>0</v>
      </c>
      <c r="AY187" s="50">
        <v>0</v>
      </c>
      <c r="AZ187" s="49">
        <v>0</v>
      </c>
      <c r="BA187" s="50">
        <v>0</v>
      </c>
      <c r="BB187" s="49">
        <v>49</v>
      </c>
      <c r="BC187" s="50">
        <v>96.07843137254902</v>
      </c>
      <c r="BD187" s="49">
        <v>51</v>
      </c>
      <c r="BE187" s="49"/>
      <c r="BF187" s="49"/>
      <c r="BG187" s="49"/>
      <c r="BH187" s="49"/>
      <c r="BI187" s="49"/>
      <c r="BJ187" s="49"/>
      <c r="BK187" s="111" t="s">
        <v>2504</v>
      </c>
      <c r="BL187" s="111" t="s">
        <v>2504</v>
      </c>
      <c r="BM187" s="111" t="s">
        <v>2692</v>
      </c>
      <c r="BN187" s="111" t="s">
        <v>2692</v>
      </c>
      <c r="BO187" s="2"/>
      <c r="BP187" s="3"/>
      <c r="BQ187" s="3"/>
      <c r="BR187" s="3"/>
      <c r="BS187" s="3"/>
    </row>
    <row r="188" spans="1:71" ht="15">
      <c r="A188" s="65" t="s">
        <v>504</v>
      </c>
      <c r="B188" s="66"/>
      <c r="C188" s="66"/>
      <c r="D188" s="67">
        <v>150</v>
      </c>
      <c r="E188" s="69"/>
      <c r="F188" s="103" t="str">
        <f>HYPERLINK("https://yt3.ggpht.com/ytc/AKedOLQ3yM6a6pGC_iJtv3sroA0g2K7O_nGQCV9PSQ=s88-c-k-c0x00ffffff-no-rj")</f>
        <v>https://yt3.ggpht.com/ytc/AKedOLQ3yM6a6pGC_iJtv3sroA0g2K7O_nGQCV9PSQ=s88-c-k-c0x00ffffff-no-rj</v>
      </c>
      <c r="G188" s="66"/>
      <c r="H188" s="70" t="s">
        <v>1017</v>
      </c>
      <c r="I188" s="71"/>
      <c r="J188" s="71" t="s">
        <v>159</v>
      </c>
      <c r="K188" s="70" t="s">
        <v>1017</v>
      </c>
      <c r="L188" s="74">
        <v>1</v>
      </c>
      <c r="M188" s="75">
        <v>2657.33349609375</v>
      </c>
      <c r="N188" s="75">
        <v>3924.899169921875</v>
      </c>
      <c r="O188" s="76"/>
      <c r="P188" s="77"/>
      <c r="Q188" s="77"/>
      <c r="R188" s="89"/>
      <c r="S188" s="49">
        <v>0</v>
      </c>
      <c r="T188" s="49">
        <v>1</v>
      </c>
      <c r="U188" s="50">
        <v>0</v>
      </c>
      <c r="V188" s="50">
        <v>0.189881</v>
      </c>
      <c r="W188" s="50">
        <v>0.080745</v>
      </c>
      <c r="X188" s="50">
        <v>0.003874</v>
      </c>
      <c r="Y188" s="50">
        <v>0</v>
      </c>
      <c r="Z188" s="50">
        <v>0</v>
      </c>
      <c r="AA188" s="72">
        <v>188</v>
      </c>
      <c r="AB188" s="72"/>
      <c r="AC188" s="73"/>
      <c r="AD188" s="80" t="s">
        <v>1017</v>
      </c>
      <c r="AE188" s="80"/>
      <c r="AF188" s="80"/>
      <c r="AG188" s="80"/>
      <c r="AH188" s="80"/>
      <c r="AI188" s="80"/>
      <c r="AJ188" s="87">
        <v>43963.67798611111</v>
      </c>
      <c r="AK188" s="85" t="str">
        <f>HYPERLINK("https://yt3.ggpht.com/ytc/AKedOLQ3yM6a6pGC_iJtv3sroA0g2K7O_nGQCV9PSQ=s88-c-k-c0x00ffffff-no-rj")</f>
        <v>https://yt3.ggpht.com/ytc/AKedOLQ3yM6a6pGC_iJtv3sroA0g2K7O_nGQCV9PSQ=s88-c-k-c0x00ffffff-no-rj</v>
      </c>
      <c r="AL188" s="80">
        <v>117</v>
      </c>
      <c r="AM188" s="80">
        <v>0</v>
      </c>
      <c r="AN188" s="80">
        <v>3</v>
      </c>
      <c r="AO188" s="80" t="b">
        <v>0</v>
      </c>
      <c r="AP188" s="80">
        <v>5</v>
      </c>
      <c r="AQ188" s="80"/>
      <c r="AR188" s="80"/>
      <c r="AS188" s="80" t="s">
        <v>1376</v>
      </c>
      <c r="AT188" s="85" t="str">
        <f>HYPERLINK("https://www.youtube.com/channel/UCeVaJ_1m9gMXcDFX9d1YtXQ")</f>
        <v>https://www.youtube.com/channel/UCeVaJ_1m9gMXcDFX9d1YtXQ</v>
      </c>
      <c r="AU188" s="80" t="str">
        <f>REPLACE(INDEX(GroupVertices[Group],MATCH(Vertices[[#This Row],[Vertex]],GroupVertices[Vertex],0)),1,1,"")</f>
        <v>1</v>
      </c>
      <c r="AV188" s="49">
        <v>0</v>
      </c>
      <c r="AW188" s="50">
        <v>0</v>
      </c>
      <c r="AX188" s="49">
        <v>0</v>
      </c>
      <c r="AY188" s="50">
        <v>0</v>
      </c>
      <c r="AZ188" s="49">
        <v>0</v>
      </c>
      <c r="BA188" s="50">
        <v>0</v>
      </c>
      <c r="BB188" s="49">
        <v>12</v>
      </c>
      <c r="BC188" s="50">
        <v>100</v>
      </c>
      <c r="BD188" s="49">
        <v>12</v>
      </c>
      <c r="BE188" s="49"/>
      <c r="BF188" s="49"/>
      <c r="BG188" s="49"/>
      <c r="BH188" s="49"/>
      <c r="BI188" s="49"/>
      <c r="BJ188" s="49"/>
      <c r="BK188" s="111" t="s">
        <v>2505</v>
      </c>
      <c r="BL188" s="111" t="s">
        <v>2505</v>
      </c>
      <c r="BM188" s="111" t="s">
        <v>2693</v>
      </c>
      <c r="BN188" s="111" t="s">
        <v>2693</v>
      </c>
      <c r="BO188" s="2"/>
      <c r="BP188" s="3"/>
      <c r="BQ188" s="3"/>
      <c r="BR188" s="3"/>
      <c r="BS188" s="3"/>
    </row>
    <row r="189" spans="1:71" ht="15">
      <c r="A189" s="65" t="s">
        <v>505</v>
      </c>
      <c r="B189" s="66"/>
      <c r="C189" s="66"/>
      <c r="D189" s="67">
        <v>150</v>
      </c>
      <c r="E189" s="69"/>
      <c r="F189" s="103" t="str">
        <f>HYPERLINK("https://yt3.ggpht.com/ytc/AKedOLT2m5wVKjLlQccukqi2pnFDLrV-sgsId8YqeA=s88-c-k-c0x00ffffff-no-rj")</f>
        <v>https://yt3.ggpht.com/ytc/AKedOLT2m5wVKjLlQccukqi2pnFDLrV-sgsId8YqeA=s88-c-k-c0x00ffffff-no-rj</v>
      </c>
      <c r="G189" s="66"/>
      <c r="H189" s="70" t="s">
        <v>1018</v>
      </c>
      <c r="I189" s="71"/>
      <c r="J189" s="71" t="s">
        <v>159</v>
      </c>
      <c r="K189" s="70" t="s">
        <v>1018</v>
      </c>
      <c r="L189" s="74">
        <v>1</v>
      </c>
      <c r="M189" s="75">
        <v>1862.6480712890625</v>
      </c>
      <c r="N189" s="75">
        <v>7655.908203125</v>
      </c>
      <c r="O189" s="76"/>
      <c r="P189" s="77"/>
      <c r="Q189" s="77"/>
      <c r="R189" s="89"/>
      <c r="S189" s="49">
        <v>1</v>
      </c>
      <c r="T189" s="49">
        <v>1</v>
      </c>
      <c r="U189" s="50">
        <v>0</v>
      </c>
      <c r="V189" s="50">
        <v>0.189881</v>
      </c>
      <c r="W189" s="50">
        <v>0.080745</v>
      </c>
      <c r="X189" s="50">
        <v>0.003874</v>
      </c>
      <c r="Y189" s="50">
        <v>0</v>
      </c>
      <c r="Z189" s="50">
        <v>1</v>
      </c>
      <c r="AA189" s="72">
        <v>189</v>
      </c>
      <c r="AB189" s="72"/>
      <c r="AC189" s="73"/>
      <c r="AD189" s="80" t="s">
        <v>1018</v>
      </c>
      <c r="AE189" s="80"/>
      <c r="AF189" s="80"/>
      <c r="AG189" s="80"/>
      <c r="AH189" s="80"/>
      <c r="AI189" s="80"/>
      <c r="AJ189" s="87">
        <v>44234.85293981482</v>
      </c>
      <c r="AK189" s="85" t="str">
        <f>HYPERLINK("https://yt3.ggpht.com/ytc/AKedOLT2m5wVKjLlQccukqi2pnFDLrV-sgsId8YqeA=s88-c-k-c0x00ffffff-no-rj")</f>
        <v>https://yt3.ggpht.com/ytc/AKedOLT2m5wVKjLlQccukqi2pnFDLrV-sgsId8YqeA=s88-c-k-c0x00ffffff-no-rj</v>
      </c>
      <c r="AL189" s="80">
        <v>0</v>
      </c>
      <c r="AM189" s="80">
        <v>0</v>
      </c>
      <c r="AN189" s="80">
        <v>0</v>
      </c>
      <c r="AO189" s="80" t="b">
        <v>0</v>
      </c>
      <c r="AP189" s="80">
        <v>0</v>
      </c>
      <c r="AQ189" s="80"/>
      <c r="AR189" s="80"/>
      <c r="AS189" s="80" t="s">
        <v>1376</v>
      </c>
      <c r="AT189" s="85" t="str">
        <f>HYPERLINK("https://www.youtube.com/channel/UChq3AzwSatOknzk3fglc94w")</f>
        <v>https://www.youtube.com/channel/UChq3AzwSatOknzk3fglc94w</v>
      </c>
      <c r="AU189" s="80" t="str">
        <f>REPLACE(INDEX(GroupVertices[Group],MATCH(Vertices[[#This Row],[Vertex]],GroupVertices[Vertex],0)),1,1,"")</f>
        <v>1</v>
      </c>
      <c r="AV189" s="49">
        <v>0</v>
      </c>
      <c r="AW189" s="50">
        <v>0</v>
      </c>
      <c r="AX189" s="49">
        <v>1</v>
      </c>
      <c r="AY189" s="50">
        <v>2.5641025641025643</v>
      </c>
      <c r="AZ189" s="49">
        <v>0</v>
      </c>
      <c r="BA189" s="50">
        <v>0</v>
      </c>
      <c r="BB189" s="49">
        <v>38</v>
      </c>
      <c r="BC189" s="50">
        <v>97.43589743589743</v>
      </c>
      <c r="BD189" s="49">
        <v>39</v>
      </c>
      <c r="BE189" s="49"/>
      <c r="BF189" s="49"/>
      <c r="BG189" s="49"/>
      <c r="BH189" s="49"/>
      <c r="BI189" s="49"/>
      <c r="BJ189" s="49"/>
      <c r="BK189" s="111" t="s">
        <v>2506</v>
      </c>
      <c r="BL189" s="111" t="s">
        <v>2506</v>
      </c>
      <c r="BM189" s="111" t="s">
        <v>2694</v>
      </c>
      <c r="BN189" s="111" t="s">
        <v>2694</v>
      </c>
      <c r="BO189" s="2"/>
      <c r="BP189" s="3"/>
      <c r="BQ189" s="3"/>
      <c r="BR189" s="3"/>
      <c r="BS189" s="3"/>
    </row>
    <row r="190" spans="1:71" ht="15">
      <c r="A190" s="65" t="s">
        <v>506</v>
      </c>
      <c r="B190" s="66"/>
      <c r="C190" s="66"/>
      <c r="D190" s="67">
        <v>150</v>
      </c>
      <c r="E190" s="69"/>
      <c r="F190" s="103" t="str">
        <f>HYPERLINK("https://yt3.ggpht.com/ytc/AKedOLRLCDLlOhbGZItJ17WH5bZdE1j2YNTQYORkWzRPlQ=s88-c-k-c0x00ffffff-no-rj")</f>
        <v>https://yt3.ggpht.com/ytc/AKedOLRLCDLlOhbGZItJ17WH5bZdE1j2YNTQYORkWzRPlQ=s88-c-k-c0x00ffffff-no-rj</v>
      </c>
      <c r="G190" s="66"/>
      <c r="H190" s="70" t="s">
        <v>1019</v>
      </c>
      <c r="I190" s="71"/>
      <c r="J190" s="71" t="s">
        <v>159</v>
      </c>
      <c r="K190" s="70" t="s">
        <v>1019</v>
      </c>
      <c r="L190" s="74">
        <v>1</v>
      </c>
      <c r="M190" s="75">
        <v>2218.845947265625</v>
      </c>
      <c r="N190" s="75">
        <v>8023.76416015625</v>
      </c>
      <c r="O190" s="76"/>
      <c r="P190" s="77"/>
      <c r="Q190" s="77"/>
      <c r="R190" s="89"/>
      <c r="S190" s="49">
        <v>0</v>
      </c>
      <c r="T190" s="49">
        <v>1</v>
      </c>
      <c r="U190" s="50">
        <v>0</v>
      </c>
      <c r="V190" s="50">
        <v>0.189881</v>
      </c>
      <c r="W190" s="50">
        <v>0.080745</v>
      </c>
      <c r="X190" s="50">
        <v>0.003874</v>
      </c>
      <c r="Y190" s="50">
        <v>0</v>
      </c>
      <c r="Z190" s="50">
        <v>0</v>
      </c>
      <c r="AA190" s="72">
        <v>190</v>
      </c>
      <c r="AB190" s="72"/>
      <c r="AC190" s="73"/>
      <c r="AD190" s="80" t="s">
        <v>1019</v>
      </c>
      <c r="AE190" s="80"/>
      <c r="AF190" s="80"/>
      <c r="AG190" s="80"/>
      <c r="AH190" s="80"/>
      <c r="AI190" s="80"/>
      <c r="AJ190" s="87">
        <v>42409.66270833334</v>
      </c>
      <c r="AK190" s="85" t="str">
        <f>HYPERLINK("https://yt3.ggpht.com/ytc/AKedOLRLCDLlOhbGZItJ17WH5bZdE1j2YNTQYORkWzRPlQ=s88-c-k-c0x00ffffff-no-rj")</f>
        <v>https://yt3.ggpht.com/ytc/AKedOLRLCDLlOhbGZItJ17WH5bZdE1j2YNTQYORkWzRPlQ=s88-c-k-c0x00ffffff-no-rj</v>
      </c>
      <c r="AL190" s="80">
        <v>965</v>
      </c>
      <c r="AM190" s="80">
        <v>0</v>
      </c>
      <c r="AN190" s="80">
        <v>0</v>
      </c>
      <c r="AO190" s="80" t="b">
        <v>0</v>
      </c>
      <c r="AP190" s="80">
        <v>3</v>
      </c>
      <c r="AQ190" s="80"/>
      <c r="AR190" s="80"/>
      <c r="AS190" s="80" t="s">
        <v>1376</v>
      </c>
      <c r="AT190" s="85" t="str">
        <f>HYPERLINK("https://www.youtube.com/channel/UCr0Eclqtwor1N3uAYG0Z3rw")</f>
        <v>https://www.youtube.com/channel/UCr0Eclqtwor1N3uAYG0Z3rw</v>
      </c>
      <c r="AU190" s="80" t="str">
        <f>REPLACE(INDEX(GroupVertices[Group],MATCH(Vertices[[#This Row],[Vertex]],GroupVertices[Vertex],0)),1,1,"")</f>
        <v>1</v>
      </c>
      <c r="AV190" s="49">
        <v>2</v>
      </c>
      <c r="AW190" s="50">
        <v>18.181818181818183</v>
      </c>
      <c r="AX190" s="49">
        <v>0</v>
      </c>
      <c r="AY190" s="50">
        <v>0</v>
      </c>
      <c r="AZ190" s="49">
        <v>0</v>
      </c>
      <c r="BA190" s="50">
        <v>0</v>
      </c>
      <c r="BB190" s="49">
        <v>9</v>
      </c>
      <c r="BC190" s="50">
        <v>81.81818181818181</v>
      </c>
      <c r="BD190" s="49">
        <v>11</v>
      </c>
      <c r="BE190" s="49"/>
      <c r="BF190" s="49"/>
      <c r="BG190" s="49"/>
      <c r="BH190" s="49"/>
      <c r="BI190" s="49"/>
      <c r="BJ190" s="49"/>
      <c r="BK190" s="111" t="s">
        <v>1785</v>
      </c>
      <c r="BL190" s="111" t="s">
        <v>1785</v>
      </c>
      <c r="BM190" s="111" t="s">
        <v>1239</v>
      </c>
      <c r="BN190" s="111" t="s">
        <v>1239</v>
      </c>
      <c r="BO190" s="2"/>
      <c r="BP190" s="3"/>
      <c r="BQ190" s="3"/>
      <c r="BR190" s="3"/>
      <c r="BS190" s="3"/>
    </row>
    <row r="191" spans="1:71" ht="15">
      <c r="A191" s="65" t="s">
        <v>507</v>
      </c>
      <c r="B191" s="66"/>
      <c r="C191" s="66"/>
      <c r="D191" s="67">
        <v>150</v>
      </c>
      <c r="E191" s="69"/>
      <c r="F191" s="103" t="str">
        <f>HYPERLINK("https://yt3.ggpht.com/ytc/AKedOLQPpdOaGxjg7yZcwL75PIlMOJFJx_aHgCutciIPzg=s88-c-k-c0x00ffffff-no-rj")</f>
        <v>https://yt3.ggpht.com/ytc/AKedOLQPpdOaGxjg7yZcwL75PIlMOJFJx_aHgCutciIPzg=s88-c-k-c0x00ffffff-no-rj</v>
      </c>
      <c r="G191" s="66"/>
      <c r="H191" s="70" t="s">
        <v>1020</v>
      </c>
      <c r="I191" s="71"/>
      <c r="J191" s="71" t="s">
        <v>159</v>
      </c>
      <c r="K191" s="70" t="s">
        <v>1020</v>
      </c>
      <c r="L191" s="74">
        <v>1</v>
      </c>
      <c r="M191" s="75">
        <v>2528.083251953125</v>
      </c>
      <c r="N191" s="75">
        <v>6325.595703125</v>
      </c>
      <c r="O191" s="76"/>
      <c r="P191" s="77"/>
      <c r="Q191" s="77"/>
      <c r="R191" s="89"/>
      <c r="S191" s="49">
        <v>0</v>
      </c>
      <c r="T191" s="49">
        <v>1</v>
      </c>
      <c r="U191" s="50">
        <v>0</v>
      </c>
      <c r="V191" s="50">
        <v>0.189881</v>
      </c>
      <c r="W191" s="50">
        <v>0.080745</v>
      </c>
      <c r="X191" s="50">
        <v>0.003874</v>
      </c>
      <c r="Y191" s="50">
        <v>0</v>
      </c>
      <c r="Z191" s="50">
        <v>0</v>
      </c>
      <c r="AA191" s="72">
        <v>191</v>
      </c>
      <c r="AB191" s="72"/>
      <c r="AC191" s="73"/>
      <c r="AD191" s="80" t="s">
        <v>1020</v>
      </c>
      <c r="AE191" s="80"/>
      <c r="AF191" s="80"/>
      <c r="AG191" s="80"/>
      <c r="AH191" s="80"/>
      <c r="AI191" s="80"/>
      <c r="AJ191" s="87">
        <v>41081.360289351855</v>
      </c>
      <c r="AK191" s="85" t="str">
        <f>HYPERLINK("https://yt3.ggpht.com/ytc/AKedOLQPpdOaGxjg7yZcwL75PIlMOJFJx_aHgCutciIPzg=s88-c-k-c0x00ffffff-no-rj")</f>
        <v>https://yt3.ggpht.com/ytc/AKedOLQPpdOaGxjg7yZcwL75PIlMOJFJx_aHgCutciIPzg=s88-c-k-c0x00ffffff-no-rj</v>
      </c>
      <c r="AL191" s="80">
        <v>12</v>
      </c>
      <c r="AM191" s="80">
        <v>0</v>
      </c>
      <c r="AN191" s="80">
        <v>0</v>
      </c>
      <c r="AO191" s="80" t="b">
        <v>0</v>
      </c>
      <c r="AP191" s="80">
        <v>1</v>
      </c>
      <c r="AQ191" s="80"/>
      <c r="AR191" s="80"/>
      <c r="AS191" s="80" t="s">
        <v>1376</v>
      </c>
      <c r="AT191" s="85" t="str">
        <f>HYPERLINK("https://www.youtube.com/channel/UC2uIoW3cCj7GB3UTuEDLV1w")</f>
        <v>https://www.youtube.com/channel/UC2uIoW3cCj7GB3UTuEDLV1w</v>
      </c>
      <c r="AU191" s="80" t="str">
        <f>REPLACE(INDEX(GroupVertices[Group],MATCH(Vertices[[#This Row],[Vertex]],GroupVertices[Vertex],0)),1,1,"")</f>
        <v>1</v>
      </c>
      <c r="AV191" s="49">
        <v>2</v>
      </c>
      <c r="AW191" s="50">
        <v>11.764705882352942</v>
      </c>
      <c r="AX191" s="49">
        <v>0</v>
      </c>
      <c r="AY191" s="50">
        <v>0</v>
      </c>
      <c r="AZ191" s="49">
        <v>0</v>
      </c>
      <c r="BA191" s="50">
        <v>0</v>
      </c>
      <c r="BB191" s="49">
        <v>15</v>
      </c>
      <c r="BC191" s="50">
        <v>88.23529411764706</v>
      </c>
      <c r="BD191" s="49">
        <v>17</v>
      </c>
      <c r="BE191" s="49"/>
      <c r="BF191" s="49"/>
      <c r="BG191" s="49"/>
      <c r="BH191" s="49"/>
      <c r="BI191" s="49"/>
      <c r="BJ191" s="49"/>
      <c r="BK191" s="111" t="s">
        <v>2507</v>
      </c>
      <c r="BL191" s="111" t="s">
        <v>2507</v>
      </c>
      <c r="BM191" s="111" t="s">
        <v>2695</v>
      </c>
      <c r="BN191" s="111" t="s">
        <v>2695</v>
      </c>
      <c r="BO191" s="2"/>
      <c r="BP191" s="3"/>
      <c r="BQ191" s="3"/>
      <c r="BR191" s="3"/>
      <c r="BS191" s="3"/>
    </row>
    <row r="192" spans="1:71" ht="15">
      <c r="A192" s="65" t="s">
        <v>508</v>
      </c>
      <c r="B192" s="66"/>
      <c r="C192" s="66"/>
      <c r="D192" s="67">
        <v>150</v>
      </c>
      <c r="E192" s="69"/>
      <c r="F192" s="103" t="str">
        <f>HYPERLINK("https://yt3.ggpht.com/ytc/AKedOLQ36uYxlMDr77PcZYlbR2Vm0T0h6e4OH3u0LA=s88-c-k-c0x00ffffff-no-rj")</f>
        <v>https://yt3.ggpht.com/ytc/AKedOLQ36uYxlMDr77PcZYlbR2Vm0T0h6e4OH3u0LA=s88-c-k-c0x00ffffff-no-rj</v>
      </c>
      <c r="G192" s="66"/>
      <c r="H192" s="70" t="s">
        <v>1021</v>
      </c>
      <c r="I192" s="71"/>
      <c r="J192" s="71" t="s">
        <v>159</v>
      </c>
      <c r="K192" s="70" t="s">
        <v>1021</v>
      </c>
      <c r="L192" s="74">
        <v>1</v>
      </c>
      <c r="M192" s="75">
        <v>7071.07373046875</v>
      </c>
      <c r="N192" s="75">
        <v>6820.541015625</v>
      </c>
      <c r="O192" s="76"/>
      <c r="P192" s="77"/>
      <c r="Q192" s="77"/>
      <c r="R192" s="89"/>
      <c r="S192" s="49">
        <v>0</v>
      </c>
      <c r="T192" s="49">
        <v>1</v>
      </c>
      <c r="U192" s="50">
        <v>0</v>
      </c>
      <c r="V192" s="50">
        <v>0.146896</v>
      </c>
      <c r="W192" s="50">
        <v>0.004722</v>
      </c>
      <c r="X192" s="50">
        <v>0.003897</v>
      </c>
      <c r="Y192" s="50">
        <v>0</v>
      </c>
      <c r="Z192" s="50">
        <v>0</v>
      </c>
      <c r="AA192" s="72">
        <v>192</v>
      </c>
      <c r="AB192" s="72"/>
      <c r="AC192" s="73"/>
      <c r="AD192" s="80" t="s">
        <v>1021</v>
      </c>
      <c r="AE192" s="80"/>
      <c r="AF192" s="80"/>
      <c r="AG192" s="80"/>
      <c r="AH192" s="80"/>
      <c r="AI192" s="80"/>
      <c r="AJ192" s="87">
        <v>40828.94097222222</v>
      </c>
      <c r="AK192" s="85" t="str">
        <f>HYPERLINK("https://yt3.ggpht.com/ytc/AKedOLQ36uYxlMDr77PcZYlbR2Vm0T0h6e4OH3u0LA=s88-c-k-c0x00ffffff-no-rj")</f>
        <v>https://yt3.ggpht.com/ytc/AKedOLQ36uYxlMDr77PcZYlbR2Vm0T0h6e4OH3u0LA=s88-c-k-c0x00ffffff-no-rj</v>
      </c>
      <c r="AL192" s="80">
        <v>0</v>
      </c>
      <c r="AM192" s="80">
        <v>0</v>
      </c>
      <c r="AN192" s="80">
        <v>0</v>
      </c>
      <c r="AO192" s="80" t="b">
        <v>0</v>
      </c>
      <c r="AP192" s="80">
        <v>0</v>
      </c>
      <c r="AQ192" s="80"/>
      <c r="AR192" s="80"/>
      <c r="AS192" s="80" t="s">
        <v>1376</v>
      </c>
      <c r="AT192" s="85" t="str">
        <f>HYPERLINK("https://www.youtube.com/channel/UCsq8SXE8cep1LI_Y8XfL4jg")</f>
        <v>https://www.youtube.com/channel/UCsq8SXE8cep1LI_Y8XfL4jg</v>
      </c>
      <c r="AU192" s="80" t="str">
        <f>REPLACE(INDEX(GroupVertices[Group],MATCH(Vertices[[#This Row],[Vertex]],GroupVertices[Vertex],0)),1,1,"")</f>
        <v>3</v>
      </c>
      <c r="AV192" s="49">
        <v>1</v>
      </c>
      <c r="AW192" s="50">
        <v>7.142857142857143</v>
      </c>
      <c r="AX192" s="49">
        <v>0</v>
      </c>
      <c r="AY192" s="50">
        <v>0</v>
      </c>
      <c r="AZ192" s="49">
        <v>0</v>
      </c>
      <c r="BA192" s="50">
        <v>0</v>
      </c>
      <c r="BB192" s="49">
        <v>13</v>
      </c>
      <c r="BC192" s="50">
        <v>92.85714285714286</v>
      </c>
      <c r="BD192" s="49">
        <v>14</v>
      </c>
      <c r="BE192" s="49"/>
      <c r="BF192" s="49"/>
      <c r="BG192" s="49"/>
      <c r="BH192" s="49"/>
      <c r="BI192" s="49"/>
      <c r="BJ192" s="49"/>
      <c r="BK192" s="111" t="s">
        <v>2508</v>
      </c>
      <c r="BL192" s="111" t="s">
        <v>2508</v>
      </c>
      <c r="BM192" s="111" t="s">
        <v>2696</v>
      </c>
      <c r="BN192" s="111" t="s">
        <v>2696</v>
      </c>
      <c r="BO192" s="2"/>
      <c r="BP192" s="3"/>
      <c r="BQ192" s="3"/>
      <c r="BR192" s="3"/>
      <c r="BS192" s="3"/>
    </row>
    <row r="193" spans="1:71" ht="15">
      <c r="A193" s="65" t="s">
        <v>509</v>
      </c>
      <c r="B193" s="66"/>
      <c r="C193" s="66"/>
      <c r="D193" s="67">
        <v>1000</v>
      </c>
      <c r="E193" s="69"/>
      <c r="F193" s="103" t="str">
        <f>HYPERLINK("https://yt3.ggpht.com/ytc/AKedOLRsnt0nulkltonocxwRK6moPpnHCbODlcYZog=s88-c-k-c0x00ffffff-no-rj")</f>
        <v>https://yt3.ggpht.com/ytc/AKedOLRsnt0nulkltonocxwRK6moPpnHCbODlcYZog=s88-c-k-c0x00ffffff-no-rj</v>
      </c>
      <c r="G193" s="66"/>
      <c r="H193" s="70" t="s">
        <v>1022</v>
      </c>
      <c r="I193" s="71"/>
      <c r="J193" s="71" t="s">
        <v>75</v>
      </c>
      <c r="K193" s="70" t="s">
        <v>1022</v>
      </c>
      <c r="L193" s="74">
        <v>753.8697721764051</v>
      </c>
      <c r="M193" s="75">
        <v>4813.18701171875</v>
      </c>
      <c r="N193" s="75">
        <v>2132.1396484375</v>
      </c>
      <c r="O193" s="76"/>
      <c r="P193" s="77"/>
      <c r="Q193" s="77"/>
      <c r="R193" s="89"/>
      <c r="S193" s="49">
        <v>0</v>
      </c>
      <c r="T193" s="49">
        <v>2</v>
      </c>
      <c r="U193" s="50">
        <v>1044</v>
      </c>
      <c r="V193" s="50">
        <v>0.189399</v>
      </c>
      <c r="W193" s="50">
        <v>0.016773</v>
      </c>
      <c r="X193" s="50">
        <v>0.004006</v>
      </c>
      <c r="Y193" s="50">
        <v>0</v>
      </c>
      <c r="Z193" s="50">
        <v>0</v>
      </c>
      <c r="AA193" s="72">
        <v>193</v>
      </c>
      <c r="AB193" s="72"/>
      <c r="AC193" s="73"/>
      <c r="AD193" s="80" t="s">
        <v>1022</v>
      </c>
      <c r="AE193" s="80"/>
      <c r="AF193" s="80"/>
      <c r="AG193" s="80"/>
      <c r="AH193" s="80"/>
      <c r="AI193" s="80"/>
      <c r="AJ193" s="87">
        <v>39826.871469907404</v>
      </c>
      <c r="AK193" s="85" t="str">
        <f>HYPERLINK("https://yt3.ggpht.com/ytc/AKedOLRsnt0nulkltonocxwRK6moPpnHCbODlcYZog=s88-c-k-c0x00ffffff-no-rj")</f>
        <v>https://yt3.ggpht.com/ytc/AKedOLRsnt0nulkltonocxwRK6moPpnHCbODlcYZog=s88-c-k-c0x00ffffff-no-rj</v>
      </c>
      <c r="AL193" s="80">
        <v>0</v>
      </c>
      <c r="AM193" s="80">
        <v>0</v>
      </c>
      <c r="AN193" s="80">
        <v>0</v>
      </c>
      <c r="AO193" s="80" t="b">
        <v>0</v>
      </c>
      <c r="AP193" s="80">
        <v>0</v>
      </c>
      <c r="AQ193" s="80"/>
      <c r="AR193" s="80"/>
      <c r="AS193" s="80" t="s">
        <v>1376</v>
      </c>
      <c r="AT193" s="85" t="str">
        <f>HYPERLINK("https://www.youtube.com/channel/UC6JkDblmdOQF2NFTBJ5_4Ng")</f>
        <v>https://www.youtube.com/channel/UC6JkDblmdOQF2NFTBJ5_4Ng</v>
      </c>
      <c r="AU193" s="80" t="str">
        <f>REPLACE(INDEX(GroupVertices[Group],MATCH(Vertices[[#This Row],[Vertex]],GroupVertices[Vertex],0)),1,1,"")</f>
        <v>6</v>
      </c>
      <c r="AV193" s="49">
        <v>3</v>
      </c>
      <c r="AW193" s="50">
        <v>30</v>
      </c>
      <c r="AX193" s="49">
        <v>0</v>
      </c>
      <c r="AY193" s="50">
        <v>0</v>
      </c>
      <c r="AZ193" s="49">
        <v>0</v>
      </c>
      <c r="BA193" s="50">
        <v>0</v>
      </c>
      <c r="BB193" s="49">
        <v>7</v>
      </c>
      <c r="BC193" s="50">
        <v>70</v>
      </c>
      <c r="BD193" s="49">
        <v>10</v>
      </c>
      <c r="BE193" s="49"/>
      <c r="BF193" s="49"/>
      <c r="BG193" s="49"/>
      <c r="BH193" s="49"/>
      <c r="BI193" s="49"/>
      <c r="BJ193" s="49"/>
      <c r="BK193" s="111" t="s">
        <v>2509</v>
      </c>
      <c r="BL193" s="111" t="s">
        <v>2509</v>
      </c>
      <c r="BM193" s="111" t="s">
        <v>2697</v>
      </c>
      <c r="BN193" s="111" t="s">
        <v>2697</v>
      </c>
      <c r="BO193" s="2"/>
      <c r="BP193" s="3"/>
      <c r="BQ193" s="3"/>
      <c r="BR193" s="3"/>
      <c r="BS193" s="3"/>
    </row>
    <row r="194" spans="1:71" ht="15">
      <c r="A194" s="65" t="s">
        <v>510</v>
      </c>
      <c r="B194" s="66"/>
      <c r="C194" s="66"/>
      <c r="D194" s="67">
        <v>150</v>
      </c>
      <c r="E194" s="69"/>
      <c r="F194" s="103" t="str">
        <f>HYPERLINK("https://yt3.ggpht.com/ytc/AKedOLQ0Bfu9WBiR37-pYLIwQVA6uPAIUHbW6DR4fvQp=s88-c-k-c0x00ffffff-no-rj")</f>
        <v>https://yt3.ggpht.com/ytc/AKedOLQ0Bfu9WBiR37-pYLIwQVA6uPAIUHbW6DR4fvQp=s88-c-k-c0x00ffffff-no-rj</v>
      </c>
      <c r="G194" s="66"/>
      <c r="H194" s="70" t="s">
        <v>1023</v>
      </c>
      <c r="I194" s="71"/>
      <c r="J194" s="71" t="s">
        <v>159</v>
      </c>
      <c r="K194" s="70" t="s">
        <v>1023</v>
      </c>
      <c r="L194" s="74">
        <v>1</v>
      </c>
      <c r="M194" s="75">
        <v>7356.68408203125</v>
      </c>
      <c r="N194" s="75">
        <v>9544.572265625</v>
      </c>
      <c r="O194" s="76"/>
      <c r="P194" s="77"/>
      <c r="Q194" s="77"/>
      <c r="R194" s="89"/>
      <c r="S194" s="49">
        <v>0</v>
      </c>
      <c r="T194" s="49">
        <v>1</v>
      </c>
      <c r="U194" s="50">
        <v>0</v>
      </c>
      <c r="V194" s="50">
        <v>0.146896</v>
      </c>
      <c r="W194" s="50">
        <v>0.004722</v>
      </c>
      <c r="X194" s="50">
        <v>0.003897</v>
      </c>
      <c r="Y194" s="50">
        <v>0</v>
      </c>
      <c r="Z194" s="50">
        <v>0</v>
      </c>
      <c r="AA194" s="72">
        <v>194</v>
      </c>
      <c r="AB194" s="72"/>
      <c r="AC194" s="73"/>
      <c r="AD194" s="80" t="s">
        <v>1023</v>
      </c>
      <c r="AE194" s="80" t="s">
        <v>1325</v>
      </c>
      <c r="AF194" s="80"/>
      <c r="AG194" s="80"/>
      <c r="AH194" s="80"/>
      <c r="AI194" s="80" t="s">
        <v>1365</v>
      </c>
      <c r="AJ194" s="87">
        <v>39711.523564814815</v>
      </c>
      <c r="AK194" s="85" t="str">
        <f>HYPERLINK("https://yt3.ggpht.com/ytc/AKedOLQ0Bfu9WBiR37-pYLIwQVA6uPAIUHbW6DR4fvQp=s88-c-k-c0x00ffffff-no-rj")</f>
        <v>https://yt3.ggpht.com/ytc/AKedOLQ0Bfu9WBiR37-pYLIwQVA6uPAIUHbW6DR4fvQp=s88-c-k-c0x00ffffff-no-rj</v>
      </c>
      <c r="AL194" s="80">
        <v>80481</v>
      </c>
      <c r="AM194" s="80">
        <v>0</v>
      </c>
      <c r="AN194" s="80">
        <v>365</v>
      </c>
      <c r="AO194" s="80" t="b">
        <v>0</v>
      </c>
      <c r="AP194" s="80">
        <v>235</v>
      </c>
      <c r="AQ194" s="80"/>
      <c r="AR194" s="80"/>
      <c r="AS194" s="80" t="s">
        <v>1376</v>
      </c>
      <c r="AT194" s="85" t="str">
        <f>HYPERLINK("https://www.youtube.com/channel/UC3M0dy_bsmIy5gLcvLHwahg")</f>
        <v>https://www.youtube.com/channel/UC3M0dy_bsmIy5gLcvLHwahg</v>
      </c>
      <c r="AU194" s="80" t="str">
        <f>REPLACE(INDEX(GroupVertices[Group],MATCH(Vertices[[#This Row],[Vertex]],GroupVertices[Vertex],0)),1,1,"")</f>
        <v>3</v>
      </c>
      <c r="AV194" s="49">
        <v>0</v>
      </c>
      <c r="AW194" s="50">
        <v>0</v>
      </c>
      <c r="AX194" s="49">
        <v>0</v>
      </c>
      <c r="AY194" s="50">
        <v>0</v>
      </c>
      <c r="AZ194" s="49">
        <v>0</v>
      </c>
      <c r="BA194" s="50">
        <v>0</v>
      </c>
      <c r="BB194" s="49">
        <v>9</v>
      </c>
      <c r="BC194" s="50">
        <v>100</v>
      </c>
      <c r="BD194" s="49">
        <v>9</v>
      </c>
      <c r="BE194" s="49"/>
      <c r="BF194" s="49"/>
      <c r="BG194" s="49"/>
      <c r="BH194" s="49"/>
      <c r="BI194" s="49"/>
      <c r="BJ194" s="49"/>
      <c r="BK194" s="111" t="s">
        <v>2510</v>
      </c>
      <c r="BL194" s="111" t="s">
        <v>2510</v>
      </c>
      <c r="BM194" s="111" t="s">
        <v>2698</v>
      </c>
      <c r="BN194" s="111" t="s">
        <v>2698</v>
      </c>
      <c r="BO194" s="2"/>
      <c r="BP194" s="3"/>
      <c r="BQ194" s="3"/>
      <c r="BR194" s="3"/>
      <c r="BS194" s="3"/>
    </row>
    <row r="195" spans="1:71" ht="15">
      <c r="A195" s="65" t="s">
        <v>511</v>
      </c>
      <c r="B195" s="66"/>
      <c r="C195" s="66"/>
      <c r="D195" s="67">
        <v>150</v>
      </c>
      <c r="E195" s="69"/>
      <c r="F195" s="103" t="str">
        <f>HYPERLINK("https://yt3.ggpht.com/ytc/AKedOLTjZRQl6_rMfBG-oc7H5Q4K464foEUhAtvrE9XQ=s88-c-k-c0x00ffffff-no-rj")</f>
        <v>https://yt3.ggpht.com/ytc/AKedOLTjZRQl6_rMfBG-oc7H5Q4K464foEUhAtvrE9XQ=s88-c-k-c0x00ffffff-no-rj</v>
      </c>
      <c r="G195" s="66"/>
      <c r="H195" s="70" t="s">
        <v>1024</v>
      </c>
      <c r="I195" s="71"/>
      <c r="J195" s="71" t="s">
        <v>159</v>
      </c>
      <c r="K195" s="70" t="s">
        <v>1024</v>
      </c>
      <c r="L195" s="74">
        <v>1</v>
      </c>
      <c r="M195" s="75">
        <v>7688.40576171875</v>
      </c>
      <c r="N195" s="75">
        <v>6721.4365234375</v>
      </c>
      <c r="O195" s="76"/>
      <c r="P195" s="77"/>
      <c r="Q195" s="77"/>
      <c r="R195" s="89"/>
      <c r="S195" s="49">
        <v>0</v>
      </c>
      <c r="T195" s="49">
        <v>1</v>
      </c>
      <c r="U195" s="50">
        <v>0</v>
      </c>
      <c r="V195" s="50">
        <v>0.146896</v>
      </c>
      <c r="W195" s="50">
        <v>0.004722</v>
      </c>
      <c r="X195" s="50">
        <v>0.003897</v>
      </c>
      <c r="Y195" s="50">
        <v>0</v>
      </c>
      <c r="Z195" s="50">
        <v>0</v>
      </c>
      <c r="AA195" s="72">
        <v>195</v>
      </c>
      <c r="AB195" s="72"/>
      <c r="AC195" s="73"/>
      <c r="AD195" s="80" t="s">
        <v>1024</v>
      </c>
      <c r="AE195" s="80" t="s">
        <v>1326</v>
      </c>
      <c r="AF195" s="80"/>
      <c r="AG195" s="80"/>
      <c r="AH195" s="80"/>
      <c r="AI195" s="80" t="s">
        <v>1366</v>
      </c>
      <c r="AJ195" s="87">
        <v>40628.492731481485</v>
      </c>
      <c r="AK195" s="85" t="str">
        <f>HYPERLINK("https://yt3.ggpht.com/ytc/AKedOLTjZRQl6_rMfBG-oc7H5Q4K464foEUhAtvrE9XQ=s88-c-k-c0x00ffffff-no-rj")</f>
        <v>https://yt3.ggpht.com/ytc/AKedOLTjZRQl6_rMfBG-oc7H5Q4K464foEUhAtvrE9XQ=s88-c-k-c0x00ffffff-no-rj</v>
      </c>
      <c r="AL195" s="80">
        <v>79494</v>
      </c>
      <c r="AM195" s="80">
        <v>0</v>
      </c>
      <c r="AN195" s="80">
        <v>217</v>
      </c>
      <c r="AO195" s="80" t="b">
        <v>0</v>
      </c>
      <c r="AP195" s="80">
        <v>57</v>
      </c>
      <c r="AQ195" s="80"/>
      <c r="AR195" s="80"/>
      <c r="AS195" s="80" t="s">
        <v>1376</v>
      </c>
      <c r="AT195" s="85" t="str">
        <f>HYPERLINK("https://www.youtube.com/channel/UC7zED_KFa6-AaMwyUpeSAAQ")</f>
        <v>https://www.youtube.com/channel/UC7zED_KFa6-AaMwyUpeSAAQ</v>
      </c>
      <c r="AU195" s="80" t="str">
        <f>REPLACE(INDEX(GroupVertices[Group],MATCH(Vertices[[#This Row],[Vertex]],GroupVertices[Vertex],0)),1,1,"")</f>
        <v>3</v>
      </c>
      <c r="AV195" s="49">
        <v>1</v>
      </c>
      <c r="AW195" s="50">
        <v>16.666666666666668</v>
      </c>
      <c r="AX195" s="49">
        <v>0</v>
      </c>
      <c r="AY195" s="50">
        <v>0</v>
      </c>
      <c r="AZ195" s="49">
        <v>0</v>
      </c>
      <c r="BA195" s="50">
        <v>0</v>
      </c>
      <c r="BB195" s="49">
        <v>5</v>
      </c>
      <c r="BC195" s="50">
        <v>83.33333333333333</v>
      </c>
      <c r="BD195" s="49">
        <v>6</v>
      </c>
      <c r="BE195" s="49"/>
      <c r="BF195" s="49"/>
      <c r="BG195" s="49"/>
      <c r="BH195" s="49"/>
      <c r="BI195" s="49"/>
      <c r="BJ195" s="49"/>
      <c r="BK195" s="111" t="s">
        <v>2511</v>
      </c>
      <c r="BL195" s="111" t="s">
        <v>2511</v>
      </c>
      <c r="BM195" s="111" t="s">
        <v>2699</v>
      </c>
      <c r="BN195" s="111" t="s">
        <v>2699</v>
      </c>
      <c r="BO195" s="2"/>
      <c r="BP195" s="3"/>
      <c r="BQ195" s="3"/>
      <c r="BR195" s="3"/>
      <c r="BS195" s="3"/>
    </row>
    <row r="196" spans="1:71" ht="15">
      <c r="A196" s="65" t="s">
        <v>512</v>
      </c>
      <c r="B196" s="66"/>
      <c r="C196" s="66"/>
      <c r="D196" s="67">
        <v>1000</v>
      </c>
      <c r="E196" s="69"/>
      <c r="F196" s="103" t="str">
        <f>HYPERLINK("https://yt3.ggpht.com/ytc/AKedOLSUEsY05qV_3EjUgtP7y9p_0VACdOc0_JR1VQoo=s88-c-k-c0x00ffffff-no-rj")</f>
        <v>https://yt3.ggpht.com/ytc/AKedOLSUEsY05qV_3EjUgtP7y9p_0VACdOc0_JR1VQoo=s88-c-k-c0x00ffffff-no-rj</v>
      </c>
      <c r="G196" s="66"/>
      <c r="H196" s="70" t="s">
        <v>1025</v>
      </c>
      <c r="I196" s="71"/>
      <c r="J196" s="71" t="s">
        <v>75</v>
      </c>
      <c r="K196" s="70" t="s">
        <v>1025</v>
      </c>
      <c r="L196" s="74">
        <v>1209.149257409241</v>
      </c>
      <c r="M196" s="75">
        <v>6843.2890625</v>
      </c>
      <c r="N196" s="75">
        <v>8785.4296875</v>
      </c>
      <c r="O196" s="76"/>
      <c r="P196" s="77"/>
      <c r="Q196" s="77"/>
      <c r="R196" s="89"/>
      <c r="S196" s="49">
        <v>0</v>
      </c>
      <c r="T196" s="49">
        <v>3</v>
      </c>
      <c r="U196" s="50">
        <v>1675.333333</v>
      </c>
      <c r="V196" s="50">
        <v>0.224769</v>
      </c>
      <c r="W196" s="50">
        <v>0.087896</v>
      </c>
      <c r="X196" s="50">
        <v>0.004203</v>
      </c>
      <c r="Y196" s="50">
        <v>0</v>
      </c>
      <c r="Z196" s="50">
        <v>0</v>
      </c>
      <c r="AA196" s="72">
        <v>196</v>
      </c>
      <c r="AB196" s="72"/>
      <c r="AC196" s="73"/>
      <c r="AD196" s="80" t="s">
        <v>1025</v>
      </c>
      <c r="AE196" s="80" t="s">
        <v>1327</v>
      </c>
      <c r="AF196" s="80"/>
      <c r="AG196" s="80"/>
      <c r="AH196" s="80"/>
      <c r="AI196" s="80"/>
      <c r="AJ196" s="87">
        <v>42765.708506944444</v>
      </c>
      <c r="AK196" s="85" t="str">
        <f>HYPERLINK("https://yt3.ggpht.com/ytc/AKedOLSUEsY05qV_3EjUgtP7y9p_0VACdOc0_JR1VQoo=s88-c-k-c0x00ffffff-no-rj")</f>
        <v>https://yt3.ggpht.com/ytc/AKedOLSUEsY05qV_3EjUgtP7y9p_0VACdOc0_JR1VQoo=s88-c-k-c0x00ffffff-no-rj</v>
      </c>
      <c r="AL196" s="80">
        <v>0</v>
      </c>
      <c r="AM196" s="80">
        <v>0</v>
      </c>
      <c r="AN196" s="80">
        <v>0</v>
      </c>
      <c r="AO196" s="80" t="b">
        <v>0</v>
      </c>
      <c r="AP196" s="80">
        <v>0</v>
      </c>
      <c r="AQ196" s="80"/>
      <c r="AR196" s="80"/>
      <c r="AS196" s="80" t="s">
        <v>1376</v>
      </c>
      <c r="AT196" s="85" t="str">
        <f>HYPERLINK("https://www.youtube.com/channel/UCf8SkhKscLmAF_zofz-5VXQ")</f>
        <v>https://www.youtube.com/channel/UCf8SkhKscLmAF_zofz-5VXQ</v>
      </c>
      <c r="AU196" s="80" t="str">
        <f>REPLACE(INDEX(GroupVertices[Group],MATCH(Vertices[[#This Row],[Vertex]],GroupVertices[Vertex],0)),1,1,"")</f>
        <v>3</v>
      </c>
      <c r="AV196" s="49">
        <v>1</v>
      </c>
      <c r="AW196" s="50">
        <v>0.8403361344537815</v>
      </c>
      <c r="AX196" s="49">
        <v>0</v>
      </c>
      <c r="AY196" s="50">
        <v>0</v>
      </c>
      <c r="AZ196" s="49">
        <v>0</v>
      </c>
      <c r="BA196" s="50">
        <v>0</v>
      </c>
      <c r="BB196" s="49">
        <v>118</v>
      </c>
      <c r="BC196" s="50">
        <v>99.15966386554622</v>
      </c>
      <c r="BD196" s="49">
        <v>119</v>
      </c>
      <c r="BE196" s="49" t="s">
        <v>2115</v>
      </c>
      <c r="BF196" s="49" t="s">
        <v>2115</v>
      </c>
      <c r="BG196" s="49" t="s">
        <v>1221</v>
      </c>
      <c r="BH196" s="49" t="s">
        <v>1221</v>
      </c>
      <c r="BI196" s="49"/>
      <c r="BJ196" s="49"/>
      <c r="BK196" s="111" t="s">
        <v>2512</v>
      </c>
      <c r="BL196" s="111" t="s">
        <v>2543</v>
      </c>
      <c r="BM196" s="111" t="s">
        <v>2700</v>
      </c>
      <c r="BN196" s="111" t="s">
        <v>2720</v>
      </c>
      <c r="BO196" s="2"/>
      <c r="BP196" s="3"/>
      <c r="BQ196" s="3"/>
      <c r="BR196" s="3"/>
      <c r="BS196" s="3"/>
    </row>
    <row r="197" spans="1:71" ht="15">
      <c r="A197" s="65" t="s">
        <v>513</v>
      </c>
      <c r="B197" s="66"/>
      <c r="C197" s="66"/>
      <c r="D197" s="67">
        <v>150</v>
      </c>
      <c r="E197" s="69"/>
      <c r="F197" s="103" t="str">
        <f>HYPERLINK("https://yt3.ggpht.com/ytc/AKedOLSTe2D6WchxPric4pLDsBRINd6mwbFS1QoCDA=s88-c-k-c0x00ffffff-no-rj")</f>
        <v>https://yt3.ggpht.com/ytc/AKedOLSTe2D6WchxPric4pLDsBRINd6mwbFS1QoCDA=s88-c-k-c0x00ffffff-no-rj</v>
      </c>
      <c r="G197" s="66"/>
      <c r="H197" s="70" t="s">
        <v>1026</v>
      </c>
      <c r="I197" s="71"/>
      <c r="J197" s="71" t="s">
        <v>159</v>
      </c>
      <c r="K197" s="70" t="s">
        <v>1026</v>
      </c>
      <c r="L197" s="74">
        <v>1</v>
      </c>
      <c r="M197" s="75">
        <v>7487.751953125</v>
      </c>
      <c r="N197" s="75">
        <v>7254.57958984375</v>
      </c>
      <c r="O197" s="76"/>
      <c r="P197" s="77"/>
      <c r="Q197" s="77"/>
      <c r="R197" s="89"/>
      <c r="S197" s="49">
        <v>0</v>
      </c>
      <c r="T197" s="49">
        <v>1</v>
      </c>
      <c r="U197" s="50">
        <v>0</v>
      </c>
      <c r="V197" s="50">
        <v>0.146896</v>
      </c>
      <c r="W197" s="50">
        <v>0.004722</v>
      </c>
      <c r="X197" s="50">
        <v>0.003897</v>
      </c>
      <c r="Y197" s="50">
        <v>0</v>
      </c>
      <c r="Z197" s="50">
        <v>0</v>
      </c>
      <c r="AA197" s="72">
        <v>197</v>
      </c>
      <c r="AB197" s="72"/>
      <c r="AC197" s="73"/>
      <c r="AD197" s="80" t="s">
        <v>1026</v>
      </c>
      <c r="AE197" s="80"/>
      <c r="AF197" s="80"/>
      <c r="AG197" s="80"/>
      <c r="AH197" s="80"/>
      <c r="AI197" s="80"/>
      <c r="AJ197" s="87">
        <v>42757.14318287037</v>
      </c>
      <c r="AK197" s="85" t="str">
        <f>HYPERLINK("https://yt3.ggpht.com/ytc/AKedOLSTe2D6WchxPric4pLDsBRINd6mwbFS1QoCDA=s88-c-k-c0x00ffffff-no-rj")</f>
        <v>https://yt3.ggpht.com/ytc/AKedOLSTe2D6WchxPric4pLDsBRINd6mwbFS1QoCDA=s88-c-k-c0x00ffffff-no-rj</v>
      </c>
      <c r="AL197" s="80">
        <v>0</v>
      </c>
      <c r="AM197" s="80">
        <v>0</v>
      </c>
      <c r="AN197" s="80">
        <v>0</v>
      </c>
      <c r="AO197" s="80" t="b">
        <v>0</v>
      </c>
      <c r="AP197" s="80">
        <v>0</v>
      </c>
      <c r="AQ197" s="80"/>
      <c r="AR197" s="80"/>
      <c r="AS197" s="80" t="s">
        <v>1376</v>
      </c>
      <c r="AT197" s="85" t="str">
        <f>HYPERLINK("https://www.youtube.com/channel/UCk1PoOyEAavdmyr0VdVN1Zg")</f>
        <v>https://www.youtube.com/channel/UCk1PoOyEAavdmyr0VdVN1Zg</v>
      </c>
      <c r="AU197" s="80" t="str">
        <f>REPLACE(INDEX(GroupVertices[Group],MATCH(Vertices[[#This Row],[Vertex]],GroupVertices[Vertex],0)),1,1,"")</f>
        <v>3</v>
      </c>
      <c r="AV197" s="49">
        <v>2</v>
      </c>
      <c r="AW197" s="50">
        <v>3.1746031746031744</v>
      </c>
      <c r="AX197" s="49">
        <v>3</v>
      </c>
      <c r="AY197" s="50">
        <v>4.761904761904762</v>
      </c>
      <c r="AZ197" s="49">
        <v>0</v>
      </c>
      <c r="BA197" s="50">
        <v>0</v>
      </c>
      <c r="BB197" s="49">
        <v>58</v>
      </c>
      <c r="BC197" s="50">
        <v>92.06349206349206</v>
      </c>
      <c r="BD197" s="49">
        <v>63</v>
      </c>
      <c r="BE197" s="49"/>
      <c r="BF197" s="49"/>
      <c r="BG197" s="49"/>
      <c r="BH197" s="49"/>
      <c r="BI197" s="49"/>
      <c r="BJ197" s="49"/>
      <c r="BK197" s="111" t="s">
        <v>2513</v>
      </c>
      <c r="BL197" s="111" t="s">
        <v>2513</v>
      </c>
      <c r="BM197" s="111" t="s">
        <v>2701</v>
      </c>
      <c r="BN197" s="111" t="s">
        <v>2701</v>
      </c>
      <c r="BO197" s="2"/>
      <c r="BP197" s="3"/>
      <c r="BQ197" s="3"/>
      <c r="BR197" s="3"/>
      <c r="BS197" s="3"/>
    </row>
    <row r="198" spans="1:71" ht="15">
      <c r="A198" s="65" t="s">
        <v>514</v>
      </c>
      <c r="B198" s="66"/>
      <c r="C198" s="66"/>
      <c r="D198" s="67">
        <v>150</v>
      </c>
      <c r="E198" s="69"/>
      <c r="F198" s="103" t="str">
        <f>HYPERLINK("https://yt3.ggpht.com/ytc/AKedOLSUFBHcVU8V3rTHHMvwCEGJO1hl7agECZRGLNk-yok=s88-c-k-c0x00ffffff-no-rj")</f>
        <v>https://yt3.ggpht.com/ytc/AKedOLSUFBHcVU8V3rTHHMvwCEGJO1hl7agECZRGLNk-yok=s88-c-k-c0x00ffffff-no-rj</v>
      </c>
      <c r="G198" s="66"/>
      <c r="H198" s="70" t="s">
        <v>1027</v>
      </c>
      <c r="I198" s="71"/>
      <c r="J198" s="71" t="s">
        <v>159</v>
      </c>
      <c r="K198" s="70" t="s">
        <v>1027</v>
      </c>
      <c r="L198" s="74">
        <v>1</v>
      </c>
      <c r="M198" s="75">
        <v>6882.00146484375</v>
      </c>
      <c r="N198" s="75">
        <v>7329.40087890625</v>
      </c>
      <c r="O198" s="76"/>
      <c r="P198" s="77"/>
      <c r="Q198" s="77"/>
      <c r="R198" s="89"/>
      <c r="S198" s="49">
        <v>0</v>
      </c>
      <c r="T198" s="49">
        <v>1</v>
      </c>
      <c r="U198" s="50">
        <v>0</v>
      </c>
      <c r="V198" s="50">
        <v>0.146896</v>
      </c>
      <c r="W198" s="50">
        <v>0.004722</v>
      </c>
      <c r="X198" s="50">
        <v>0.003897</v>
      </c>
      <c r="Y198" s="50">
        <v>0</v>
      </c>
      <c r="Z198" s="50">
        <v>0</v>
      </c>
      <c r="AA198" s="72">
        <v>198</v>
      </c>
      <c r="AB198" s="72"/>
      <c r="AC198" s="73"/>
      <c r="AD198" s="80" t="s">
        <v>1027</v>
      </c>
      <c r="AE198" s="80"/>
      <c r="AF198" s="80"/>
      <c r="AG198" s="80"/>
      <c r="AH198" s="80"/>
      <c r="AI198" s="80" t="s">
        <v>1367</v>
      </c>
      <c r="AJ198" s="87">
        <v>39723.74915509259</v>
      </c>
      <c r="AK198" s="85" t="str">
        <f>HYPERLINK("https://yt3.ggpht.com/ytc/AKedOLSUFBHcVU8V3rTHHMvwCEGJO1hl7agECZRGLNk-yok=s88-c-k-c0x00ffffff-no-rj")</f>
        <v>https://yt3.ggpht.com/ytc/AKedOLSUFBHcVU8V3rTHHMvwCEGJO1hl7agECZRGLNk-yok=s88-c-k-c0x00ffffff-no-rj</v>
      </c>
      <c r="AL198" s="80">
        <v>5968</v>
      </c>
      <c r="AM198" s="80">
        <v>0</v>
      </c>
      <c r="AN198" s="80">
        <v>19</v>
      </c>
      <c r="AO198" s="80" t="b">
        <v>0</v>
      </c>
      <c r="AP198" s="80">
        <v>38</v>
      </c>
      <c r="AQ198" s="80"/>
      <c r="AR198" s="80"/>
      <c r="AS198" s="80" t="s">
        <v>1376</v>
      </c>
      <c r="AT198" s="85" t="str">
        <f>HYPERLINK("https://www.youtube.com/channel/UCxH7QekYGX6Zj7xDozlqXbg")</f>
        <v>https://www.youtube.com/channel/UCxH7QekYGX6Zj7xDozlqXbg</v>
      </c>
      <c r="AU198" s="80" t="str">
        <f>REPLACE(INDEX(GroupVertices[Group],MATCH(Vertices[[#This Row],[Vertex]],GroupVertices[Vertex],0)),1,1,"")</f>
        <v>3</v>
      </c>
      <c r="AV198" s="49">
        <v>0</v>
      </c>
      <c r="AW198" s="50">
        <v>0</v>
      </c>
      <c r="AX198" s="49">
        <v>1</v>
      </c>
      <c r="AY198" s="50">
        <v>33.333333333333336</v>
      </c>
      <c r="AZ198" s="49">
        <v>0</v>
      </c>
      <c r="BA198" s="50">
        <v>0</v>
      </c>
      <c r="BB198" s="49">
        <v>2</v>
      </c>
      <c r="BC198" s="50">
        <v>66.66666666666667</v>
      </c>
      <c r="BD198" s="49">
        <v>3</v>
      </c>
      <c r="BE198" s="49"/>
      <c r="BF198" s="49"/>
      <c r="BG198" s="49"/>
      <c r="BH198" s="49"/>
      <c r="BI198" s="49"/>
      <c r="BJ198" s="49"/>
      <c r="BK198" s="111" t="s">
        <v>2514</v>
      </c>
      <c r="BL198" s="111" t="s">
        <v>2514</v>
      </c>
      <c r="BM198" s="111" t="s">
        <v>2702</v>
      </c>
      <c r="BN198" s="111" t="s">
        <v>2702</v>
      </c>
      <c r="BO198" s="2"/>
      <c r="BP198" s="3"/>
      <c r="BQ198" s="3"/>
      <c r="BR198" s="3"/>
      <c r="BS198" s="3"/>
    </row>
    <row r="199" spans="1:71" ht="15">
      <c r="A199" s="65" t="s">
        <v>515</v>
      </c>
      <c r="B199" s="66"/>
      <c r="C199" s="66"/>
      <c r="D199" s="67">
        <v>1000</v>
      </c>
      <c r="E199" s="69"/>
      <c r="F199" s="103" t="str">
        <f>HYPERLINK("https://yt3.ggpht.com/ytc/AKedOLQoKfm3ZWhVdecZhO_UMvMAvPPob6V32fz6-Q=s88-c-k-c0x00ffffff-no-rj")</f>
        <v>https://yt3.ggpht.com/ytc/AKedOLQoKfm3ZWhVdecZhO_UMvMAvPPob6V32fz6-Q=s88-c-k-c0x00ffffff-no-rj</v>
      </c>
      <c r="G199" s="66"/>
      <c r="H199" s="70" t="s">
        <v>1028</v>
      </c>
      <c r="I199" s="71"/>
      <c r="J199" s="71" t="s">
        <v>75</v>
      </c>
      <c r="K199" s="70" t="s">
        <v>1028</v>
      </c>
      <c r="L199" s="74">
        <v>1084.9930518462224</v>
      </c>
      <c r="M199" s="75">
        <v>7741.4814453125</v>
      </c>
      <c r="N199" s="75">
        <v>8412.2412109375</v>
      </c>
      <c r="O199" s="76"/>
      <c r="P199" s="77"/>
      <c r="Q199" s="77"/>
      <c r="R199" s="89"/>
      <c r="S199" s="49">
        <v>1</v>
      </c>
      <c r="T199" s="49">
        <v>2</v>
      </c>
      <c r="U199" s="50">
        <v>1503.166667</v>
      </c>
      <c r="V199" s="50">
        <v>0.223423</v>
      </c>
      <c r="W199" s="50">
        <v>0.085467</v>
      </c>
      <c r="X199" s="50">
        <v>0.003976</v>
      </c>
      <c r="Y199" s="50">
        <v>0</v>
      </c>
      <c r="Z199" s="50">
        <v>0.5</v>
      </c>
      <c r="AA199" s="72">
        <v>199</v>
      </c>
      <c r="AB199" s="72"/>
      <c r="AC199" s="73"/>
      <c r="AD199" s="80" t="s">
        <v>1028</v>
      </c>
      <c r="AE199" s="80"/>
      <c r="AF199" s="80"/>
      <c r="AG199" s="80"/>
      <c r="AH199" s="80"/>
      <c r="AI199" s="80"/>
      <c r="AJ199" s="87">
        <v>42037.64949074074</v>
      </c>
      <c r="AK199" s="85" t="str">
        <f>HYPERLINK("https://yt3.ggpht.com/ytc/AKedOLQoKfm3ZWhVdecZhO_UMvMAvPPob6V32fz6-Q=s88-c-k-c0x00ffffff-no-rj")</f>
        <v>https://yt3.ggpht.com/ytc/AKedOLQoKfm3ZWhVdecZhO_UMvMAvPPob6V32fz6-Q=s88-c-k-c0x00ffffff-no-rj</v>
      </c>
      <c r="AL199" s="80">
        <v>0</v>
      </c>
      <c r="AM199" s="80">
        <v>0</v>
      </c>
      <c r="AN199" s="80">
        <v>4</v>
      </c>
      <c r="AO199" s="80" t="b">
        <v>0</v>
      </c>
      <c r="AP199" s="80">
        <v>0</v>
      </c>
      <c r="AQ199" s="80"/>
      <c r="AR199" s="80"/>
      <c r="AS199" s="80" t="s">
        <v>1376</v>
      </c>
      <c r="AT199" s="85" t="str">
        <f>HYPERLINK("https://www.youtube.com/channel/UCKrUAYzPSyq1cBlKN08M6qw")</f>
        <v>https://www.youtube.com/channel/UCKrUAYzPSyq1cBlKN08M6qw</v>
      </c>
      <c r="AU199" s="80" t="str">
        <f>REPLACE(INDEX(GroupVertices[Group],MATCH(Vertices[[#This Row],[Vertex]],GroupVertices[Vertex],0)),1,1,"")</f>
        <v>3</v>
      </c>
      <c r="AV199" s="49">
        <v>2</v>
      </c>
      <c r="AW199" s="50">
        <v>2.816901408450704</v>
      </c>
      <c r="AX199" s="49">
        <v>0</v>
      </c>
      <c r="AY199" s="50">
        <v>0</v>
      </c>
      <c r="AZ199" s="49">
        <v>0</v>
      </c>
      <c r="BA199" s="50">
        <v>0</v>
      </c>
      <c r="BB199" s="49">
        <v>69</v>
      </c>
      <c r="BC199" s="50">
        <v>97.1830985915493</v>
      </c>
      <c r="BD199" s="49">
        <v>71</v>
      </c>
      <c r="BE199" s="49"/>
      <c r="BF199" s="49"/>
      <c r="BG199" s="49"/>
      <c r="BH199" s="49"/>
      <c r="BI199" s="49"/>
      <c r="BJ199" s="49"/>
      <c r="BK199" s="111" t="s">
        <v>2515</v>
      </c>
      <c r="BL199" s="111" t="s">
        <v>2544</v>
      </c>
      <c r="BM199" s="111" t="s">
        <v>2703</v>
      </c>
      <c r="BN199" s="111" t="s">
        <v>2703</v>
      </c>
      <c r="BO199" s="2"/>
      <c r="BP199" s="3"/>
      <c r="BQ199" s="3"/>
      <c r="BR199" s="3"/>
      <c r="BS199" s="3"/>
    </row>
    <row r="200" spans="1:71" ht="15">
      <c r="A200" s="65" t="s">
        <v>516</v>
      </c>
      <c r="B200" s="66"/>
      <c r="C200" s="66"/>
      <c r="D200" s="67">
        <v>1000</v>
      </c>
      <c r="E200" s="69"/>
      <c r="F200" s="103" t="str">
        <f>HYPERLINK("https://yt3.ggpht.com/ytc/AKedOLT54Mf70vDEi1bkh7PE6VZ8iOiHsKiGFVkaoiasHQ=s88-c-k-c0x00ffffff-no-rj")</f>
        <v>https://yt3.ggpht.com/ytc/AKedOLT54Mf70vDEi1bkh7PE6VZ8iOiHsKiGFVkaoiasHQ=s88-c-k-c0x00ffffff-no-rj</v>
      </c>
      <c r="G200" s="66"/>
      <c r="H200" s="70" t="s">
        <v>1029</v>
      </c>
      <c r="I200" s="71"/>
      <c r="J200" s="71" t="s">
        <v>75</v>
      </c>
      <c r="K200" s="70" t="s">
        <v>1029</v>
      </c>
      <c r="L200" s="74">
        <v>1084.9930518462224</v>
      </c>
      <c r="M200" s="75">
        <v>8003.44580078125</v>
      </c>
      <c r="N200" s="75">
        <v>8051.38037109375</v>
      </c>
      <c r="O200" s="76"/>
      <c r="P200" s="77"/>
      <c r="Q200" s="77"/>
      <c r="R200" s="89"/>
      <c r="S200" s="49">
        <v>1</v>
      </c>
      <c r="T200" s="49">
        <v>2</v>
      </c>
      <c r="U200" s="50">
        <v>1503.166667</v>
      </c>
      <c r="V200" s="50">
        <v>0.223423</v>
      </c>
      <c r="W200" s="50">
        <v>0.085467</v>
      </c>
      <c r="X200" s="50">
        <v>0.003976</v>
      </c>
      <c r="Y200" s="50">
        <v>0</v>
      </c>
      <c r="Z200" s="50">
        <v>0.5</v>
      </c>
      <c r="AA200" s="72">
        <v>200</v>
      </c>
      <c r="AB200" s="72"/>
      <c r="AC200" s="73"/>
      <c r="AD200" s="80" t="s">
        <v>1029</v>
      </c>
      <c r="AE200" s="80"/>
      <c r="AF200" s="80"/>
      <c r="AG200" s="80"/>
      <c r="AH200" s="80"/>
      <c r="AI200" s="80"/>
      <c r="AJ200" s="87">
        <v>41735.16736111111</v>
      </c>
      <c r="AK200" s="85" t="str">
        <f>HYPERLINK("https://yt3.ggpht.com/ytc/AKedOLT54Mf70vDEi1bkh7PE6VZ8iOiHsKiGFVkaoiasHQ=s88-c-k-c0x00ffffff-no-rj")</f>
        <v>https://yt3.ggpht.com/ytc/AKedOLT54Mf70vDEi1bkh7PE6VZ8iOiHsKiGFVkaoiasHQ=s88-c-k-c0x00ffffff-no-rj</v>
      </c>
      <c r="AL200" s="80">
        <v>0</v>
      </c>
      <c r="AM200" s="80">
        <v>0</v>
      </c>
      <c r="AN200" s="80">
        <v>2</v>
      </c>
      <c r="AO200" s="80" t="b">
        <v>0</v>
      </c>
      <c r="AP200" s="80">
        <v>0</v>
      </c>
      <c r="AQ200" s="80"/>
      <c r="AR200" s="80"/>
      <c r="AS200" s="80" t="s">
        <v>1376</v>
      </c>
      <c r="AT200" s="85" t="str">
        <f>HYPERLINK("https://www.youtube.com/channel/UCkLPx3Y2qhbDjUwEQRqLv0A")</f>
        <v>https://www.youtube.com/channel/UCkLPx3Y2qhbDjUwEQRqLv0A</v>
      </c>
      <c r="AU200" s="80" t="str">
        <f>REPLACE(INDEX(GroupVertices[Group],MATCH(Vertices[[#This Row],[Vertex]],GroupVertices[Vertex],0)),1,1,"")</f>
        <v>3</v>
      </c>
      <c r="AV200" s="49">
        <v>2</v>
      </c>
      <c r="AW200" s="50">
        <v>9.523809523809524</v>
      </c>
      <c r="AX200" s="49">
        <v>0</v>
      </c>
      <c r="AY200" s="50">
        <v>0</v>
      </c>
      <c r="AZ200" s="49">
        <v>0</v>
      </c>
      <c r="BA200" s="50">
        <v>0</v>
      </c>
      <c r="BB200" s="49">
        <v>19</v>
      </c>
      <c r="BC200" s="50">
        <v>90.47619047619048</v>
      </c>
      <c r="BD200" s="49">
        <v>21</v>
      </c>
      <c r="BE200" s="49"/>
      <c r="BF200" s="49"/>
      <c r="BG200" s="49"/>
      <c r="BH200" s="49"/>
      <c r="BI200" s="49"/>
      <c r="BJ200" s="49"/>
      <c r="BK200" s="111" t="s">
        <v>2516</v>
      </c>
      <c r="BL200" s="111" t="s">
        <v>2545</v>
      </c>
      <c r="BM200" s="111" t="s">
        <v>2704</v>
      </c>
      <c r="BN200" s="111" t="s">
        <v>2721</v>
      </c>
      <c r="BO200" s="2"/>
      <c r="BP200" s="3"/>
      <c r="BQ200" s="3"/>
      <c r="BR200" s="3"/>
      <c r="BS200" s="3"/>
    </row>
    <row r="201" spans="1:71" ht="15">
      <c r="A201" s="65" t="s">
        <v>517</v>
      </c>
      <c r="B201" s="66"/>
      <c r="C201" s="66"/>
      <c r="D201" s="67">
        <v>1000</v>
      </c>
      <c r="E201" s="69"/>
      <c r="F201" s="103" t="str">
        <f>HYPERLINK("https://yt3.ggpht.com/ytc/AKedOLQpKdHUsPkjvG9F376a4Iz4GxX5KHxAC4aFKw=s88-c-k-c0x00ffffff-no-rj")</f>
        <v>https://yt3.ggpht.com/ytc/AKedOLQpKdHUsPkjvG9F376a4Iz4GxX5KHxAC4aFKw=s88-c-k-c0x00ffffff-no-rj</v>
      </c>
      <c r="G201" s="66"/>
      <c r="H201" s="70" t="s">
        <v>1030</v>
      </c>
      <c r="I201" s="71"/>
      <c r="J201" s="71" t="s">
        <v>75</v>
      </c>
      <c r="K201" s="70" t="s">
        <v>1030</v>
      </c>
      <c r="L201" s="74">
        <v>2731.234633582251</v>
      </c>
      <c r="M201" s="75">
        <v>4819.3037109375</v>
      </c>
      <c r="N201" s="75">
        <v>8179.71337890625</v>
      </c>
      <c r="O201" s="76"/>
      <c r="P201" s="77"/>
      <c r="Q201" s="77"/>
      <c r="R201" s="89"/>
      <c r="S201" s="49">
        <v>1</v>
      </c>
      <c r="T201" s="49">
        <v>6</v>
      </c>
      <c r="U201" s="50">
        <v>3786</v>
      </c>
      <c r="V201" s="50">
        <v>0.156772</v>
      </c>
      <c r="W201" s="50">
        <v>0.005098</v>
      </c>
      <c r="X201" s="50">
        <v>0.004951</v>
      </c>
      <c r="Y201" s="50">
        <v>0</v>
      </c>
      <c r="Z201" s="50">
        <v>0.16666666666666666</v>
      </c>
      <c r="AA201" s="72">
        <v>201</v>
      </c>
      <c r="AB201" s="72"/>
      <c r="AC201" s="73"/>
      <c r="AD201" s="80" t="s">
        <v>1030</v>
      </c>
      <c r="AE201" s="80"/>
      <c r="AF201" s="80"/>
      <c r="AG201" s="80"/>
      <c r="AH201" s="80"/>
      <c r="AI201" s="80"/>
      <c r="AJ201" s="87">
        <v>41589.497199074074</v>
      </c>
      <c r="AK201" s="85" t="str">
        <f>HYPERLINK("https://yt3.ggpht.com/ytc/AKedOLQpKdHUsPkjvG9F376a4Iz4GxX5KHxAC4aFKw=s88-c-k-c0x00ffffff-no-rj")</f>
        <v>https://yt3.ggpht.com/ytc/AKedOLQpKdHUsPkjvG9F376a4Iz4GxX5KHxAC4aFKw=s88-c-k-c0x00ffffff-no-rj</v>
      </c>
      <c r="AL201" s="80">
        <v>0</v>
      </c>
      <c r="AM201" s="80">
        <v>0</v>
      </c>
      <c r="AN201" s="80">
        <v>5</v>
      </c>
      <c r="AO201" s="80" t="b">
        <v>0</v>
      </c>
      <c r="AP201" s="80">
        <v>0</v>
      </c>
      <c r="AQ201" s="80"/>
      <c r="AR201" s="80"/>
      <c r="AS201" s="80" t="s">
        <v>1376</v>
      </c>
      <c r="AT201" s="85" t="str">
        <f>HYPERLINK("https://www.youtube.com/channel/UCj-YNRE6g8gXzAaXu-kQ7Og")</f>
        <v>https://www.youtube.com/channel/UCj-YNRE6g8gXzAaXu-kQ7Og</v>
      </c>
      <c r="AU201" s="80" t="str">
        <f>REPLACE(INDEX(GroupVertices[Group],MATCH(Vertices[[#This Row],[Vertex]],GroupVertices[Vertex],0)),1,1,"")</f>
        <v>4</v>
      </c>
      <c r="AV201" s="49">
        <v>31</v>
      </c>
      <c r="AW201" s="50">
        <v>12.109375</v>
      </c>
      <c r="AX201" s="49">
        <v>6</v>
      </c>
      <c r="AY201" s="50">
        <v>2.34375</v>
      </c>
      <c r="AZ201" s="49">
        <v>0</v>
      </c>
      <c r="BA201" s="50">
        <v>0</v>
      </c>
      <c r="BB201" s="49">
        <v>219</v>
      </c>
      <c r="BC201" s="50">
        <v>85.546875</v>
      </c>
      <c r="BD201" s="49">
        <v>256</v>
      </c>
      <c r="BE201" s="49"/>
      <c r="BF201" s="49"/>
      <c r="BG201" s="49"/>
      <c r="BH201" s="49"/>
      <c r="BI201" s="49"/>
      <c r="BJ201" s="49"/>
      <c r="BK201" s="111" t="s">
        <v>2517</v>
      </c>
      <c r="BL201" s="111" t="s">
        <v>2546</v>
      </c>
      <c r="BM201" s="111" t="s">
        <v>2321</v>
      </c>
      <c r="BN201" s="111" t="s">
        <v>2722</v>
      </c>
      <c r="BO201" s="2"/>
      <c r="BP201" s="3"/>
      <c r="BQ201" s="3"/>
      <c r="BR201" s="3"/>
      <c r="BS201" s="3"/>
    </row>
    <row r="202" spans="1:71" ht="15">
      <c r="A202" s="65" t="s">
        <v>558</v>
      </c>
      <c r="B202" s="66"/>
      <c r="C202" s="66"/>
      <c r="D202" s="67">
        <v>150</v>
      </c>
      <c r="E202" s="69"/>
      <c r="F202" s="103" t="str">
        <f>HYPERLINK("https://yt3.ggpht.com/jn-PhmHy4BD4lBwlUFfYhbemX9lWuL812d3TUSP8pFDGRX-5ADt-5I6mbIZiSeT1yPj63c63fi8=s88-c-k-c0x00ffffff-no-rj")</f>
        <v>https://yt3.ggpht.com/jn-PhmHy4BD4lBwlUFfYhbemX9lWuL812d3TUSP8pFDGRX-5ADt-5I6mbIZiSeT1yPj63c63fi8=s88-c-k-c0x00ffffff-no-rj</v>
      </c>
      <c r="G202" s="66"/>
      <c r="H202" s="70" t="s">
        <v>1271</v>
      </c>
      <c r="I202" s="71"/>
      <c r="J202" s="71" t="s">
        <v>159</v>
      </c>
      <c r="K202" s="70" t="s">
        <v>1271</v>
      </c>
      <c r="L202" s="74">
        <v>1</v>
      </c>
      <c r="M202" s="75">
        <v>4879.0966796875</v>
      </c>
      <c r="N202" s="75">
        <v>7701.697265625</v>
      </c>
      <c r="O202" s="76"/>
      <c r="P202" s="77"/>
      <c r="Q202" s="77"/>
      <c r="R202" s="89"/>
      <c r="S202" s="49">
        <v>2</v>
      </c>
      <c r="T202" s="49">
        <v>1</v>
      </c>
      <c r="U202" s="50">
        <v>0</v>
      </c>
      <c r="V202" s="50">
        <v>0.123549</v>
      </c>
      <c r="W202" s="50">
        <v>0.000645</v>
      </c>
      <c r="X202" s="50">
        <v>0.004236</v>
      </c>
      <c r="Y202" s="50">
        <v>0</v>
      </c>
      <c r="Z202" s="50">
        <v>0</v>
      </c>
      <c r="AA202" s="72">
        <v>202</v>
      </c>
      <c r="AB202" s="72"/>
      <c r="AC202" s="73"/>
      <c r="AD202" s="80" t="s">
        <v>1271</v>
      </c>
      <c r="AE202" s="80" t="s">
        <v>1328</v>
      </c>
      <c r="AF202" s="80"/>
      <c r="AG202" s="80"/>
      <c r="AH202" s="80"/>
      <c r="AI202" s="80"/>
      <c r="AJ202" s="87">
        <v>43078.97707175926</v>
      </c>
      <c r="AK202" s="85" t="str">
        <f>HYPERLINK("https://yt3.ggpht.com/jn-PhmHy4BD4lBwlUFfYhbemX9lWuL812d3TUSP8pFDGRX-5ADt-5I6mbIZiSeT1yPj63c63fi8=s88-c-k-c0x00ffffff-no-rj")</f>
        <v>https://yt3.ggpht.com/jn-PhmHy4BD4lBwlUFfYhbemX9lWuL812d3TUSP8pFDGRX-5ADt-5I6mbIZiSeT1yPj63c63fi8=s88-c-k-c0x00ffffff-no-rj</v>
      </c>
      <c r="AL202" s="80">
        <v>6413</v>
      </c>
      <c r="AM202" s="80">
        <v>0</v>
      </c>
      <c r="AN202" s="80">
        <v>173</v>
      </c>
      <c r="AO202" s="80" t="b">
        <v>0</v>
      </c>
      <c r="AP202" s="80">
        <v>49</v>
      </c>
      <c r="AQ202" s="80"/>
      <c r="AR202" s="80"/>
      <c r="AS202" s="80" t="s">
        <v>1376</v>
      </c>
      <c r="AT202" s="85" t="str">
        <f>HYPERLINK("https://www.youtube.com/channel/UCoHpLfLDotbsVyGvGlsekQA")</f>
        <v>https://www.youtube.com/channel/UCoHpLfLDotbsVyGvGlsekQA</v>
      </c>
      <c r="AU202" s="80" t="str">
        <f>REPLACE(INDEX(GroupVertices[Group],MATCH(Vertices[[#This Row],[Vertex]],GroupVertices[Vertex],0)),1,1,"")</f>
        <v>4</v>
      </c>
      <c r="AV202" s="49"/>
      <c r="AW202" s="50"/>
      <c r="AX202" s="49"/>
      <c r="AY202" s="50"/>
      <c r="AZ202" s="49"/>
      <c r="BA202" s="50"/>
      <c r="BB202" s="49"/>
      <c r="BC202" s="50"/>
      <c r="BD202" s="49"/>
      <c r="BE202" s="49"/>
      <c r="BF202" s="49"/>
      <c r="BG202" s="49"/>
      <c r="BH202" s="49"/>
      <c r="BI202" s="49"/>
      <c r="BJ202" s="49"/>
      <c r="BK202" s="111" t="s">
        <v>1239</v>
      </c>
      <c r="BL202" s="111" t="s">
        <v>1239</v>
      </c>
      <c r="BM202" s="111" t="s">
        <v>1239</v>
      </c>
      <c r="BN202" s="111" t="s">
        <v>1239</v>
      </c>
      <c r="BO202" s="2"/>
      <c r="BP202" s="3"/>
      <c r="BQ202" s="3"/>
      <c r="BR202" s="3"/>
      <c r="BS202" s="3"/>
    </row>
    <row r="203" spans="1:71" ht="15">
      <c r="A203" s="65" t="s">
        <v>518</v>
      </c>
      <c r="B203" s="66"/>
      <c r="C203" s="66"/>
      <c r="D203" s="67">
        <v>150</v>
      </c>
      <c r="E203" s="69"/>
      <c r="F203" s="103" t="str">
        <f>HYPERLINK("https://yt3.ggpht.com/FDfKuHnPhG3I6tuqBewPrfBR52VZcA5flYEbVrxDT724U0D37W757Vs4vLofuz8ObgN2nYOubQ=s88-c-k-c0x00ffffff-no-rj")</f>
        <v>https://yt3.ggpht.com/FDfKuHnPhG3I6tuqBewPrfBR52VZcA5flYEbVrxDT724U0D37W757Vs4vLofuz8ObgN2nYOubQ=s88-c-k-c0x00ffffff-no-rj</v>
      </c>
      <c r="G203" s="66"/>
      <c r="H203" s="70" t="s">
        <v>1031</v>
      </c>
      <c r="I203" s="71"/>
      <c r="J203" s="71" t="s">
        <v>159</v>
      </c>
      <c r="K203" s="70" t="s">
        <v>1031</v>
      </c>
      <c r="L203" s="74">
        <v>1</v>
      </c>
      <c r="M203" s="75">
        <v>7637.65478515625</v>
      </c>
      <c r="N203" s="75">
        <v>9412.1201171875</v>
      </c>
      <c r="O203" s="76"/>
      <c r="P203" s="77"/>
      <c r="Q203" s="77"/>
      <c r="R203" s="89"/>
      <c r="S203" s="49">
        <v>0</v>
      </c>
      <c r="T203" s="49">
        <v>1</v>
      </c>
      <c r="U203" s="50">
        <v>0</v>
      </c>
      <c r="V203" s="50">
        <v>0.146896</v>
      </c>
      <c r="W203" s="50">
        <v>0.004722</v>
      </c>
      <c r="X203" s="50">
        <v>0.003897</v>
      </c>
      <c r="Y203" s="50">
        <v>0</v>
      </c>
      <c r="Z203" s="50">
        <v>0</v>
      </c>
      <c r="AA203" s="72">
        <v>203</v>
      </c>
      <c r="AB203" s="72"/>
      <c r="AC203" s="73"/>
      <c r="AD203" s="80" t="s">
        <v>1031</v>
      </c>
      <c r="AE203" s="80"/>
      <c r="AF203" s="80"/>
      <c r="AG203" s="80"/>
      <c r="AH203" s="80"/>
      <c r="AI203" s="80"/>
      <c r="AJ203" s="87">
        <v>41435.268159722225</v>
      </c>
      <c r="AK203" s="85" t="str">
        <f>HYPERLINK("https://yt3.ggpht.com/FDfKuHnPhG3I6tuqBewPrfBR52VZcA5flYEbVrxDT724U0D37W757Vs4vLofuz8ObgN2nYOubQ=s88-c-k-c0x00ffffff-no-rj")</f>
        <v>https://yt3.ggpht.com/FDfKuHnPhG3I6tuqBewPrfBR52VZcA5flYEbVrxDT724U0D37W757Vs4vLofuz8ObgN2nYOubQ=s88-c-k-c0x00ffffff-no-rj</v>
      </c>
      <c r="AL203" s="80">
        <v>0</v>
      </c>
      <c r="AM203" s="80">
        <v>0</v>
      </c>
      <c r="AN203" s="80">
        <v>0</v>
      </c>
      <c r="AO203" s="80" t="b">
        <v>0</v>
      </c>
      <c r="AP203" s="80">
        <v>0</v>
      </c>
      <c r="AQ203" s="80"/>
      <c r="AR203" s="80"/>
      <c r="AS203" s="80" t="s">
        <v>1376</v>
      </c>
      <c r="AT203" s="85" t="str">
        <f>HYPERLINK("https://www.youtube.com/channel/UCmbTaq_33tRrVi_b7V2zzwg")</f>
        <v>https://www.youtube.com/channel/UCmbTaq_33tRrVi_b7V2zzwg</v>
      </c>
      <c r="AU203" s="80" t="str">
        <f>REPLACE(INDEX(GroupVertices[Group],MATCH(Vertices[[#This Row],[Vertex]],GroupVertices[Vertex],0)),1,1,"")</f>
        <v>3</v>
      </c>
      <c r="AV203" s="49">
        <v>2</v>
      </c>
      <c r="AW203" s="50">
        <v>25</v>
      </c>
      <c r="AX203" s="49">
        <v>0</v>
      </c>
      <c r="AY203" s="50">
        <v>0</v>
      </c>
      <c r="AZ203" s="49">
        <v>0</v>
      </c>
      <c r="BA203" s="50">
        <v>0</v>
      </c>
      <c r="BB203" s="49">
        <v>6</v>
      </c>
      <c r="BC203" s="50">
        <v>75</v>
      </c>
      <c r="BD203" s="49">
        <v>8</v>
      </c>
      <c r="BE203" s="49"/>
      <c r="BF203" s="49"/>
      <c r="BG203" s="49"/>
      <c r="BH203" s="49"/>
      <c r="BI203" s="49"/>
      <c r="BJ203" s="49"/>
      <c r="BK203" s="111" t="s">
        <v>2518</v>
      </c>
      <c r="BL203" s="111" t="s">
        <v>2518</v>
      </c>
      <c r="BM203" s="111" t="s">
        <v>2705</v>
      </c>
      <c r="BN203" s="111" t="s">
        <v>2705</v>
      </c>
      <c r="BO203" s="2"/>
      <c r="BP203" s="3"/>
      <c r="BQ203" s="3"/>
      <c r="BR203" s="3"/>
      <c r="BS203" s="3"/>
    </row>
    <row r="204" spans="1:71" ht="15">
      <c r="A204" s="65" t="s">
        <v>519</v>
      </c>
      <c r="B204" s="66"/>
      <c r="C204" s="66"/>
      <c r="D204" s="67">
        <v>150</v>
      </c>
      <c r="E204" s="69"/>
      <c r="F204" s="103" t="str">
        <f>HYPERLINK("https://yt3.ggpht.com/ytc/AKedOLSj3FvISI4Dbcj4bZch0_sVZO_O_-9XNuxJRYGQNQ=s88-c-k-c0x00ffffff-no-rj")</f>
        <v>https://yt3.ggpht.com/ytc/AKedOLSj3FvISI4Dbcj4bZch0_sVZO_O_-9XNuxJRYGQNQ=s88-c-k-c0x00ffffff-no-rj</v>
      </c>
      <c r="G204" s="66"/>
      <c r="H204" s="70" t="s">
        <v>1272</v>
      </c>
      <c r="I204" s="71"/>
      <c r="J204" s="71" t="s">
        <v>159</v>
      </c>
      <c r="K204" s="70" t="s">
        <v>1272</v>
      </c>
      <c r="L204" s="74">
        <v>1</v>
      </c>
      <c r="M204" s="75">
        <v>1609.8885498046875</v>
      </c>
      <c r="N204" s="75">
        <v>1056.879638671875</v>
      </c>
      <c r="O204" s="76"/>
      <c r="P204" s="77"/>
      <c r="Q204" s="77"/>
      <c r="R204" s="89"/>
      <c r="S204" s="49">
        <v>1</v>
      </c>
      <c r="T204" s="49">
        <v>1</v>
      </c>
      <c r="U204" s="50">
        <v>0</v>
      </c>
      <c r="V204" s="50">
        <v>0</v>
      </c>
      <c r="W204" s="50">
        <v>0</v>
      </c>
      <c r="X204" s="50">
        <v>0.004464</v>
      </c>
      <c r="Y204" s="50">
        <v>0</v>
      </c>
      <c r="Z204" s="50">
        <v>0</v>
      </c>
      <c r="AA204" s="72">
        <v>204</v>
      </c>
      <c r="AB204" s="72"/>
      <c r="AC204" s="73"/>
      <c r="AD204" s="80" t="s">
        <v>1272</v>
      </c>
      <c r="AE204" s="80" t="s">
        <v>1329</v>
      </c>
      <c r="AF204" s="80"/>
      <c r="AG204" s="80"/>
      <c r="AH204" s="80"/>
      <c r="AI204" s="80" t="s">
        <v>1368</v>
      </c>
      <c r="AJ204" s="87">
        <v>42408.52071759259</v>
      </c>
      <c r="AK204" s="85" t="str">
        <f>HYPERLINK("https://yt3.ggpht.com/ytc/AKedOLSj3FvISI4Dbcj4bZch0_sVZO_O_-9XNuxJRYGQNQ=s88-c-k-c0x00ffffff-no-rj")</f>
        <v>https://yt3.ggpht.com/ytc/AKedOLSj3FvISI4Dbcj4bZch0_sVZO_O_-9XNuxJRYGQNQ=s88-c-k-c0x00ffffff-no-rj</v>
      </c>
      <c r="AL204" s="80">
        <v>69810679</v>
      </c>
      <c r="AM204" s="80">
        <v>0</v>
      </c>
      <c r="AN204" s="80">
        <v>264000</v>
      </c>
      <c r="AO204" s="80" t="b">
        <v>0</v>
      </c>
      <c r="AP204" s="80">
        <v>12275</v>
      </c>
      <c r="AQ204" s="80"/>
      <c r="AR204" s="80"/>
      <c r="AS204" s="80" t="s">
        <v>1376</v>
      </c>
      <c r="AT204" s="85" t="str">
        <f>HYPERLINK("https://www.youtube.com/channel/UC6-_IKv5-IipN6rYvnyoNUg")</f>
        <v>https://www.youtube.com/channel/UC6-_IKv5-IipN6rYvnyoNUg</v>
      </c>
      <c r="AU204" s="80" t="str">
        <f>REPLACE(INDEX(GroupVertices[Group],MATCH(Vertices[[#This Row],[Vertex]],GroupVertices[Vertex],0)),1,1,"")</f>
        <v>2</v>
      </c>
      <c r="AV204" s="49"/>
      <c r="AW204" s="50"/>
      <c r="AX204" s="49"/>
      <c r="AY204" s="50"/>
      <c r="AZ204" s="49"/>
      <c r="BA204" s="50"/>
      <c r="BB204" s="49"/>
      <c r="BC204" s="50"/>
      <c r="BD204" s="49"/>
      <c r="BE204" s="49"/>
      <c r="BF204" s="49"/>
      <c r="BG204" s="49"/>
      <c r="BH204" s="49"/>
      <c r="BI204" s="49"/>
      <c r="BJ204" s="49"/>
      <c r="BK204" s="111" t="s">
        <v>1239</v>
      </c>
      <c r="BL204" s="111" t="s">
        <v>1239</v>
      </c>
      <c r="BM204" s="111" t="s">
        <v>1239</v>
      </c>
      <c r="BN204" s="111" t="s">
        <v>1239</v>
      </c>
      <c r="BO204" s="2"/>
      <c r="BP204" s="3"/>
      <c r="BQ204" s="3"/>
      <c r="BR204" s="3"/>
      <c r="BS204" s="3"/>
    </row>
    <row r="205" spans="1:71" ht="15">
      <c r="A205" s="65" t="s">
        <v>520</v>
      </c>
      <c r="B205" s="66"/>
      <c r="C205" s="66"/>
      <c r="D205" s="67">
        <v>150</v>
      </c>
      <c r="E205" s="69"/>
      <c r="F205" s="103" t="str">
        <f>HYPERLINK("https://yt3.ggpht.com/ytc/AKedOLRF2PFGtS9sc3OK9sj4Qib5IkVzfr3kp9sLyMDsfg=s88-c-k-c0x00ffffff-no-rj")</f>
        <v>https://yt3.ggpht.com/ytc/AKedOLRF2PFGtS9sc3OK9sj4Qib5IkVzfr3kp9sLyMDsfg=s88-c-k-c0x00ffffff-no-rj</v>
      </c>
      <c r="G205" s="66"/>
      <c r="H205" s="70" t="s">
        <v>1273</v>
      </c>
      <c r="I205" s="71"/>
      <c r="J205" s="71" t="s">
        <v>159</v>
      </c>
      <c r="K205" s="70" t="s">
        <v>1273</v>
      </c>
      <c r="L205" s="74">
        <v>1</v>
      </c>
      <c r="M205" s="75">
        <v>2211.38525390625</v>
      </c>
      <c r="N205" s="75">
        <v>1056.879638671875</v>
      </c>
      <c r="O205" s="76"/>
      <c r="P205" s="77"/>
      <c r="Q205" s="77"/>
      <c r="R205" s="89"/>
      <c r="S205" s="49">
        <v>1</v>
      </c>
      <c r="T205" s="49">
        <v>1</v>
      </c>
      <c r="U205" s="50">
        <v>0</v>
      </c>
      <c r="V205" s="50">
        <v>0</v>
      </c>
      <c r="W205" s="50">
        <v>0</v>
      </c>
      <c r="X205" s="50">
        <v>0.004464</v>
      </c>
      <c r="Y205" s="50">
        <v>0</v>
      </c>
      <c r="Z205" s="50">
        <v>0</v>
      </c>
      <c r="AA205" s="72">
        <v>205</v>
      </c>
      <c r="AB205" s="72"/>
      <c r="AC205" s="73"/>
      <c r="AD205" s="80" t="s">
        <v>1273</v>
      </c>
      <c r="AE205" s="80"/>
      <c r="AF205" s="80"/>
      <c r="AG205" s="80"/>
      <c r="AH205" s="80"/>
      <c r="AI205" s="80"/>
      <c r="AJ205" s="87">
        <v>40401.86981481482</v>
      </c>
      <c r="AK205" s="85" t="str">
        <f>HYPERLINK("https://yt3.ggpht.com/ytc/AKedOLRF2PFGtS9sc3OK9sj4Qib5IkVzfr3kp9sLyMDsfg=s88-c-k-c0x00ffffff-no-rj")</f>
        <v>https://yt3.ggpht.com/ytc/AKedOLRF2PFGtS9sc3OK9sj4Qib5IkVzfr3kp9sLyMDsfg=s88-c-k-c0x00ffffff-no-rj</v>
      </c>
      <c r="AL205" s="80">
        <v>875</v>
      </c>
      <c r="AM205" s="80">
        <v>0</v>
      </c>
      <c r="AN205" s="80">
        <v>6</v>
      </c>
      <c r="AO205" s="80" t="b">
        <v>0</v>
      </c>
      <c r="AP205" s="80">
        <v>3</v>
      </c>
      <c r="AQ205" s="80"/>
      <c r="AR205" s="80"/>
      <c r="AS205" s="80" t="s">
        <v>1376</v>
      </c>
      <c r="AT205" s="85" t="str">
        <f>HYPERLINK("https://www.youtube.com/channel/UC0ejCnEOTEswqFo4wd_6N9g")</f>
        <v>https://www.youtube.com/channel/UC0ejCnEOTEswqFo4wd_6N9g</v>
      </c>
      <c r="AU205" s="80" t="str">
        <f>REPLACE(INDEX(GroupVertices[Group],MATCH(Vertices[[#This Row],[Vertex]],GroupVertices[Vertex],0)),1,1,"")</f>
        <v>2</v>
      </c>
      <c r="AV205" s="49"/>
      <c r="AW205" s="50"/>
      <c r="AX205" s="49"/>
      <c r="AY205" s="50"/>
      <c r="AZ205" s="49"/>
      <c r="BA205" s="50"/>
      <c r="BB205" s="49"/>
      <c r="BC205" s="50"/>
      <c r="BD205" s="49"/>
      <c r="BE205" s="49"/>
      <c r="BF205" s="49"/>
      <c r="BG205" s="49"/>
      <c r="BH205" s="49"/>
      <c r="BI205" s="49"/>
      <c r="BJ205" s="49"/>
      <c r="BK205" s="111" t="s">
        <v>1239</v>
      </c>
      <c r="BL205" s="111" t="s">
        <v>1239</v>
      </c>
      <c r="BM205" s="111" t="s">
        <v>1239</v>
      </c>
      <c r="BN205" s="111" t="s">
        <v>1239</v>
      </c>
      <c r="BO205" s="2"/>
      <c r="BP205" s="3"/>
      <c r="BQ205" s="3"/>
      <c r="BR205" s="3"/>
      <c r="BS205" s="3"/>
    </row>
    <row r="206" spans="1:71" ht="15">
      <c r="A206" s="65" t="s">
        <v>522</v>
      </c>
      <c r="B206" s="66"/>
      <c r="C206" s="66"/>
      <c r="D206" s="67">
        <v>150</v>
      </c>
      <c r="E206" s="69"/>
      <c r="F206" s="103" t="str">
        <f>HYPERLINK("https://yt3.ggpht.com/ytc/AKedOLTAKydZkXmWSqwYCiPrVmzZmnCkA9dODL07Ew=s88-c-k-c0x00ffffff-no-rj")</f>
        <v>https://yt3.ggpht.com/ytc/AKedOLTAKydZkXmWSqwYCiPrVmzZmnCkA9dODL07Ew=s88-c-k-c0x00ffffff-no-rj</v>
      </c>
      <c r="G206" s="66"/>
      <c r="H206" s="70" t="s">
        <v>1274</v>
      </c>
      <c r="I206" s="71"/>
      <c r="J206" s="71" t="s">
        <v>159</v>
      </c>
      <c r="K206" s="70" t="s">
        <v>1274</v>
      </c>
      <c r="L206" s="74">
        <v>1</v>
      </c>
      <c r="M206" s="75">
        <v>1008.3917236328125</v>
      </c>
      <c r="N206" s="75">
        <v>1056.879638671875</v>
      </c>
      <c r="O206" s="76"/>
      <c r="P206" s="77"/>
      <c r="Q206" s="77"/>
      <c r="R206" s="89"/>
      <c r="S206" s="49">
        <v>1</v>
      </c>
      <c r="T206" s="49">
        <v>1</v>
      </c>
      <c r="U206" s="50">
        <v>0</v>
      </c>
      <c r="V206" s="50">
        <v>0</v>
      </c>
      <c r="W206" s="50">
        <v>0</v>
      </c>
      <c r="X206" s="50">
        <v>0.004464</v>
      </c>
      <c r="Y206" s="50">
        <v>0</v>
      </c>
      <c r="Z206" s="50">
        <v>0</v>
      </c>
      <c r="AA206" s="72">
        <v>206</v>
      </c>
      <c r="AB206" s="72"/>
      <c r="AC206" s="73"/>
      <c r="AD206" s="80" t="s">
        <v>1274</v>
      </c>
      <c r="AE206" s="80"/>
      <c r="AF206" s="80"/>
      <c r="AG206" s="80"/>
      <c r="AH206" s="80"/>
      <c r="AI206" s="80"/>
      <c r="AJ206" s="87">
        <v>43981.37986111111</v>
      </c>
      <c r="AK206" s="85" t="str">
        <f>HYPERLINK("https://yt3.ggpht.com/ytc/AKedOLTAKydZkXmWSqwYCiPrVmzZmnCkA9dODL07Ew=s88-c-k-c0x00ffffff-no-rj")</f>
        <v>https://yt3.ggpht.com/ytc/AKedOLTAKydZkXmWSqwYCiPrVmzZmnCkA9dODL07Ew=s88-c-k-c0x00ffffff-no-rj</v>
      </c>
      <c r="AL206" s="80">
        <v>1865</v>
      </c>
      <c r="AM206" s="80">
        <v>0</v>
      </c>
      <c r="AN206" s="80">
        <v>15</v>
      </c>
      <c r="AO206" s="80" t="b">
        <v>0</v>
      </c>
      <c r="AP206" s="80">
        <v>37</v>
      </c>
      <c r="AQ206" s="80"/>
      <c r="AR206" s="80"/>
      <c r="AS206" s="80" t="s">
        <v>1376</v>
      </c>
      <c r="AT206" s="85" t="str">
        <f>HYPERLINK("https://www.youtube.com/channel/UC66vVHIk59YgD3h1mm1KrXQ")</f>
        <v>https://www.youtube.com/channel/UC66vVHIk59YgD3h1mm1KrXQ</v>
      </c>
      <c r="AU206" s="80" t="str">
        <f>REPLACE(INDEX(GroupVertices[Group],MATCH(Vertices[[#This Row],[Vertex]],GroupVertices[Vertex],0)),1,1,"")</f>
        <v>2</v>
      </c>
      <c r="AV206" s="49"/>
      <c r="AW206" s="50"/>
      <c r="AX206" s="49"/>
      <c r="AY206" s="50"/>
      <c r="AZ206" s="49"/>
      <c r="BA206" s="50"/>
      <c r="BB206" s="49"/>
      <c r="BC206" s="50"/>
      <c r="BD206" s="49"/>
      <c r="BE206" s="49"/>
      <c r="BF206" s="49"/>
      <c r="BG206" s="49"/>
      <c r="BH206" s="49"/>
      <c r="BI206" s="49"/>
      <c r="BJ206" s="49"/>
      <c r="BK206" s="111" t="s">
        <v>1239</v>
      </c>
      <c r="BL206" s="111" t="s">
        <v>1239</v>
      </c>
      <c r="BM206" s="111" t="s">
        <v>1239</v>
      </c>
      <c r="BN206" s="111" t="s">
        <v>1239</v>
      </c>
      <c r="BO206" s="2"/>
      <c r="BP206" s="3"/>
      <c r="BQ206" s="3"/>
      <c r="BR206" s="3"/>
      <c r="BS206" s="3"/>
    </row>
    <row r="207" spans="1:71" ht="15">
      <c r="A207" s="65" t="s">
        <v>523</v>
      </c>
      <c r="B207" s="66"/>
      <c r="C207" s="66"/>
      <c r="D207" s="67">
        <v>150</v>
      </c>
      <c r="E207" s="69"/>
      <c r="F207" s="103" t="str">
        <f>HYPERLINK("https://yt3.ggpht.com/ytc/AKedOLQc98VRkeRCyQ7MdAafRN-MXuDKePXDpaWp_w=s88-c-k-c0x00ffffff-no-rj")</f>
        <v>https://yt3.ggpht.com/ytc/AKedOLQc98VRkeRCyQ7MdAafRN-MXuDKePXDpaWp_w=s88-c-k-c0x00ffffff-no-rj</v>
      </c>
      <c r="G207" s="66"/>
      <c r="H207" s="70" t="s">
        <v>1275</v>
      </c>
      <c r="I207" s="71"/>
      <c r="J207" s="71" t="s">
        <v>159</v>
      </c>
      <c r="K207" s="70" t="s">
        <v>1275</v>
      </c>
      <c r="L207" s="74">
        <v>1</v>
      </c>
      <c r="M207" s="75">
        <v>3414.37890625</v>
      </c>
      <c r="N207" s="75">
        <v>1663.4365234375</v>
      </c>
      <c r="O207" s="76"/>
      <c r="P207" s="77"/>
      <c r="Q207" s="77"/>
      <c r="R207" s="89"/>
      <c r="S207" s="49">
        <v>1</v>
      </c>
      <c r="T207" s="49">
        <v>1</v>
      </c>
      <c r="U207" s="50">
        <v>0</v>
      </c>
      <c r="V207" s="50">
        <v>0</v>
      </c>
      <c r="W207" s="50">
        <v>0</v>
      </c>
      <c r="X207" s="50">
        <v>0.004464</v>
      </c>
      <c r="Y207" s="50">
        <v>0</v>
      </c>
      <c r="Z207" s="50">
        <v>0</v>
      </c>
      <c r="AA207" s="72">
        <v>207</v>
      </c>
      <c r="AB207" s="72"/>
      <c r="AC207" s="73"/>
      <c r="AD207" s="80" t="s">
        <v>1275</v>
      </c>
      <c r="AE207" s="80"/>
      <c r="AF207" s="80"/>
      <c r="AG207" s="80"/>
      <c r="AH207" s="80"/>
      <c r="AI207" s="80"/>
      <c r="AJ207" s="87">
        <v>43130.77038194444</v>
      </c>
      <c r="AK207" s="85" t="str">
        <f>HYPERLINK("https://yt3.ggpht.com/ytc/AKedOLQc98VRkeRCyQ7MdAafRN-MXuDKePXDpaWp_w=s88-c-k-c0x00ffffff-no-rj")</f>
        <v>https://yt3.ggpht.com/ytc/AKedOLQc98VRkeRCyQ7MdAafRN-MXuDKePXDpaWp_w=s88-c-k-c0x00ffffff-no-rj</v>
      </c>
      <c r="AL207" s="80">
        <v>295</v>
      </c>
      <c r="AM207" s="80">
        <v>0</v>
      </c>
      <c r="AN207" s="80">
        <v>3</v>
      </c>
      <c r="AO207" s="80" t="b">
        <v>0</v>
      </c>
      <c r="AP207" s="80">
        <v>5</v>
      </c>
      <c r="AQ207" s="80"/>
      <c r="AR207" s="80"/>
      <c r="AS207" s="80" t="s">
        <v>1376</v>
      </c>
      <c r="AT207" s="85" t="str">
        <f>HYPERLINK("https://www.youtube.com/channel/UC4n1n-2l0CaRwTErBeFB_ww")</f>
        <v>https://www.youtube.com/channel/UC4n1n-2l0CaRwTErBeFB_ww</v>
      </c>
      <c r="AU207" s="80" t="str">
        <f>REPLACE(INDEX(GroupVertices[Group],MATCH(Vertices[[#This Row],[Vertex]],GroupVertices[Vertex],0)),1,1,"")</f>
        <v>2</v>
      </c>
      <c r="AV207" s="49"/>
      <c r="AW207" s="50"/>
      <c r="AX207" s="49"/>
      <c r="AY207" s="50"/>
      <c r="AZ207" s="49"/>
      <c r="BA207" s="50"/>
      <c r="BB207" s="49"/>
      <c r="BC207" s="50"/>
      <c r="BD207" s="49"/>
      <c r="BE207" s="49"/>
      <c r="BF207" s="49"/>
      <c r="BG207" s="49"/>
      <c r="BH207" s="49"/>
      <c r="BI207" s="49"/>
      <c r="BJ207" s="49"/>
      <c r="BK207" s="111" t="s">
        <v>1239</v>
      </c>
      <c r="BL207" s="111" t="s">
        <v>1239</v>
      </c>
      <c r="BM207" s="111" t="s">
        <v>1239</v>
      </c>
      <c r="BN207" s="111" t="s">
        <v>1239</v>
      </c>
      <c r="BO207" s="2"/>
      <c r="BP207" s="3"/>
      <c r="BQ207" s="3"/>
      <c r="BR207" s="3"/>
      <c r="BS207" s="3"/>
    </row>
    <row r="208" spans="1:71" ht="15">
      <c r="A208" s="65" t="s">
        <v>524</v>
      </c>
      <c r="B208" s="66"/>
      <c r="C208" s="66"/>
      <c r="D208" s="67">
        <v>150</v>
      </c>
      <c r="E208" s="69"/>
      <c r="F208" s="103" t="str">
        <f>HYPERLINK("https://yt3.ggpht.com/ytc/AKedOLQTHvrnkuuHGU1lmP5GY2mPQS4m70Yb6bciVAfq=s88-c-k-c0x00ffffff-no-rj")</f>
        <v>https://yt3.ggpht.com/ytc/AKedOLQTHvrnkuuHGU1lmP5GY2mPQS4m70Yb6bciVAfq=s88-c-k-c0x00ffffff-no-rj</v>
      </c>
      <c r="G208" s="66"/>
      <c r="H208" s="70" t="s">
        <v>1276</v>
      </c>
      <c r="I208" s="71"/>
      <c r="J208" s="71" t="s">
        <v>159</v>
      </c>
      <c r="K208" s="70" t="s">
        <v>1276</v>
      </c>
      <c r="L208" s="74">
        <v>1</v>
      </c>
      <c r="M208" s="75">
        <v>406.8948974609375</v>
      </c>
      <c r="N208" s="75">
        <v>1056.879638671875</v>
      </c>
      <c r="O208" s="76"/>
      <c r="P208" s="77"/>
      <c r="Q208" s="77"/>
      <c r="R208" s="89"/>
      <c r="S208" s="49">
        <v>1</v>
      </c>
      <c r="T208" s="49">
        <v>1</v>
      </c>
      <c r="U208" s="50">
        <v>0</v>
      </c>
      <c r="V208" s="50">
        <v>0</v>
      </c>
      <c r="W208" s="50">
        <v>0</v>
      </c>
      <c r="X208" s="50">
        <v>0.004464</v>
      </c>
      <c r="Y208" s="50">
        <v>0</v>
      </c>
      <c r="Z208" s="50">
        <v>0</v>
      </c>
      <c r="AA208" s="72">
        <v>208</v>
      </c>
      <c r="AB208" s="72"/>
      <c r="AC208" s="73"/>
      <c r="AD208" s="80" t="s">
        <v>1276</v>
      </c>
      <c r="AE208" s="80"/>
      <c r="AF208" s="80"/>
      <c r="AG208" s="80"/>
      <c r="AH208" s="80"/>
      <c r="AI208" s="80"/>
      <c r="AJ208" s="87">
        <v>40203.69099537037</v>
      </c>
      <c r="AK208" s="85" t="str">
        <f>HYPERLINK("https://yt3.ggpht.com/ytc/AKedOLQTHvrnkuuHGU1lmP5GY2mPQS4m70Yb6bciVAfq=s88-c-k-c0x00ffffff-no-rj")</f>
        <v>https://yt3.ggpht.com/ytc/AKedOLQTHvrnkuuHGU1lmP5GY2mPQS4m70Yb6bciVAfq=s88-c-k-c0x00ffffff-no-rj</v>
      </c>
      <c r="AL208" s="80">
        <v>30238</v>
      </c>
      <c r="AM208" s="80">
        <v>0</v>
      </c>
      <c r="AN208" s="80">
        <v>248</v>
      </c>
      <c r="AO208" s="80" t="b">
        <v>0</v>
      </c>
      <c r="AP208" s="80">
        <v>419</v>
      </c>
      <c r="AQ208" s="80"/>
      <c r="AR208" s="80"/>
      <c r="AS208" s="80" t="s">
        <v>1376</v>
      </c>
      <c r="AT208" s="85" t="str">
        <f>HYPERLINK("https://www.youtube.com/channel/UCyCJVMyIh50PLFp6vCZ6-Zw")</f>
        <v>https://www.youtube.com/channel/UCyCJVMyIh50PLFp6vCZ6-Zw</v>
      </c>
      <c r="AU208" s="80" t="str">
        <f>REPLACE(INDEX(GroupVertices[Group],MATCH(Vertices[[#This Row],[Vertex]],GroupVertices[Vertex],0)),1,1,"")</f>
        <v>2</v>
      </c>
      <c r="AV208" s="49"/>
      <c r="AW208" s="50"/>
      <c r="AX208" s="49"/>
      <c r="AY208" s="50"/>
      <c r="AZ208" s="49"/>
      <c r="BA208" s="50"/>
      <c r="BB208" s="49"/>
      <c r="BC208" s="50"/>
      <c r="BD208" s="49"/>
      <c r="BE208" s="49"/>
      <c r="BF208" s="49"/>
      <c r="BG208" s="49"/>
      <c r="BH208" s="49"/>
      <c r="BI208" s="49"/>
      <c r="BJ208" s="49"/>
      <c r="BK208" s="111" t="s">
        <v>1239</v>
      </c>
      <c r="BL208" s="111" t="s">
        <v>1239</v>
      </c>
      <c r="BM208" s="111" t="s">
        <v>1239</v>
      </c>
      <c r="BN208" s="111" t="s">
        <v>1239</v>
      </c>
      <c r="BO208" s="2"/>
      <c r="BP208" s="3"/>
      <c r="BQ208" s="3"/>
      <c r="BR208" s="3"/>
      <c r="BS208" s="3"/>
    </row>
    <row r="209" spans="1:71" ht="15">
      <c r="A209" s="65" t="s">
        <v>527</v>
      </c>
      <c r="B209" s="66"/>
      <c r="C209" s="66"/>
      <c r="D209" s="67">
        <v>150</v>
      </c>
      <c r="E209" s="69"/>
      <c r="F209" s="103" t="str">
        <f>HYPERLINK("https://yt3.ggpht.com/ytc/AKedOLTWugi5dx8nsNyZW03j0lPo49sWgxPMHGTheCwk=s88-c-k-c0x00ffffff-no-rj")</f>
        <v>https://yt3.ggpht.com/ytc/AKedOLTWugi5dx8nsNyZW03j0lPo49sWgxPMHGTheCwk=s88-c-k-c0x00ffffff-no-rj</v>
      </c>
      <c r="G209" s="66"/>
      <c r="H209" s="70" t="s">
        <v>1277</v>
      </c>
      <c r="I209" s="71"/>
      <c r="J209" s="71" t="s">
        <v>159</v>
      </c>
      <c r="K209" s="70" t="s">
        <v>1277</v>
      </c>
      <c r="L209" s="74">
        <v>1</v>
      </c>
      <c r="M209" s="75">
        <v>2812.882080078125</v>
      </c>
      <c r="N209" s="75">
        <v>1056.879638671875</v>
      </c>
      <c r="O209" s="76"/>
      <c r="P209" s="77"/>
      <c r="Q209" s="77"/>
      <c r="R209" s="89"/>
      <c r="S209" s="49">
        <v>1</v>
      </c>
      <c r="T209" s="49">
        <v>1</v>
      </c>
      <c r="U209" s="50">
        <v>0</v>
      </c>
      <c r="V209" s="50">
        <v>0</v>
      </c>
      <c r="W209" s="50">
        <v>0</v>
      </c>
      <c r="X209" s="50">
        <v>0.004464</v>
      </c>
      <c r="Y209" s="50">
        <v>0</v>
      </c>
      <c r="Z209" s="50">
        <v>0</v>
      </c>
      <c r="AA209" s="72">
        <v>209</v>
      </c>
      <c r="AB209" s="72"/>
      <c r="AC209" s="73"/>
      <c r="AD209" s="80" t="s">
        <v>1277</v>
      </c>
      <c r="AE209" s="80" t="s">
        <v>1330</v>
      </c>
      <c r="AF209" s="80"/>
      <c r="AG209" s="80"/>
      <c r="AH209" s="80"/>
      <c r="AI209" s="80"/>
      <c r="AJ209" s="87">
        <v>40879.78696759259</v>
      </c>
      <c r="AK209" s="85" t="str">
        <f>HYPERLINK("https://yt3.ggpht.com/ytc/AKedOLTWugi5dx8nsNyZW03j0lPo49sWgxPMHGTheCwk=s88-c-k-c0x00ffffff-no-rj")</f>
        <v>https://yt3.ggpht.com/ytc/AKedOLTWugi5dx8nsNyZW03j0lPo49sWgxPMHGTheCwk=s88-c-k-c0x00ffffff-no-rj</v>
      </c>
      <c r="AL209" s="80">
        <v>230683</v>
      </c>
      <c r="AM209" s="80">
        <v>0</v>
      </c>
      <c r="AN209" s="80">
        <v>1160</v>
      </c>
      <c r="AO209" s="80" t="b">
        <v>0</v>
      </c>
      <c r="AP209" s="80">
        <v>1834</v>
      </c>
      <c r="AQ209" s="80"/>
      <c r="AR209" s="80"/>
      <c r="AS209" s="80" t="s">
        <v>1376</v>
      </c>
      <c r="AT209" s="85" t="str">
        <f>HYPERLINK("https://www.youtube.com/channel/UCQVbb4dGKq_eQU0Urm0imww")</f>
        <v>https://www.youtube.com/channel/UCQVbb4dGKq_eQU0Urm0imww</v>
      </c>
      <c r="AU209" s="80" t="str">
        <f>REPLACE(INDEX(GroupVertices[Group],MATCH(Vertices[[#This Row],[Vertex]],GroupVertices[Vertex],0)),1,1,"")</f>
        <v>2</v>
      </c>
      <c r="AV209" s="49"/>
      <c r="AW209" s="50"/>
      <c r="AX209" s="49"/>
      <c r="AY209" s="50"/>
      <c r="AZ209" s="49"/>
      <c r="BA209" s="50"/>
      <c r="BB209" s="49"/>
      <c r="BC209" s="50"/>
      <c r="BD209" s="49"/>
      <c r="BE209" s="49"/>
      <c r="BF209" s="49"/>
      <c r="BG209" s="49"/>
      <c r="BH209" s="49"/>
      <c r="BI209" s="49"/>
      <c r="BJ209" s="49"/>
      <c r="BK209" s="111" t="s">
        <v>1239</v>
      </c>
      <c r="BL209" s="111" t="s">
        <v>1239</v>
      </c>
      <c r="BM209" s="111" t="s">
        <v>1239</v>
      </c>
      <c r="BN209" s="111" t="s">
        <v>1239</v>
      </c>
      <c r="BO209" s="2"/>
      <c r="BP209" s="3"/>
      <c r="BQ209" s="3"/>
      <c r="BR209" s="3"/>
      <c r="BS209" s="3"/>
    </row>
    <row r="210" spans="1:71" ht="15">
      <c r="A210" s="65" t="s">
        <v>528</v>
      </c>
      <c r="B210" s="66"/>
      <c r="C210" s="66"/>
      <c r="D210" s="67">
        <v>150</v>
      </c>
      <c r="E210" s="69"/>
      <c r="F210" s="103" t="str">
        <f>HYPERLINK("https://yt3.ggpht.com/ytc/AKedOLROCPtxwySYmI5-2bwdwulEO3q9XUy39HCQfl6DRA=s88-c-k-c0x00ffffff-no-rj")</f>
        <v>https://yt3.ggpht.com/ytc/AKedOLROCPtxwySYmI5-2bwdwulEO3q9XUy39HCQfl6DRA=s88-c-k-c0x00ffffff-no-rj</v>
      </c>
      <c r="G210" s="66"/>
      <c r="H210" s="70" t="s">
        <v>1278</v>
      </c>
      <c r="I210" s="71"/>
      <c r="J210" s="71" t="s">
        <v>159</v>
      </c>
      <c r="K210" s="70" t="s">
        <v>1278</v>
      </c>
      <c r="L210" s="74">
        <v>1</v>
      </c>
      <c r="M210" s="75">
        <v>1609.8885498046875</v>
      </c>
      <c r="N210" s="75">
        <v>450.3226013183594</v>
      </c>
      <c r="O210" s="76"/>
      <c r="P210" s="77"/>
      <c r="Q210" s="77"/>
      <c r="R210" s="89"/>
      <c r="S210" s="49">
        <v>1</v>
      </c>
      <c r="T210" s="49">
        <v>1</v>
      </c>
      <c r="U210" s="50">
        <v>0</v>
      </c>
      <c r="V210" s="50">
        <v>0</v>
      </c>
      <c r="W210" s="50">
        <v>0</v>
      </c>
      <c r="X210" s="50">
        <v>0.004464</v>
      </c>
      <c r="Y210" s="50">
        <v>0</v>
      </c>
      <c r="Z210" s="50">
        <v>0</v>
      </c>
      <c r="AA210" s="72">
        <v>210</v>
      </c>
      <c r="AB210" s="72"/>
      <c r="AC210" s="73"/>
      <c r="AD210" s="80" t="s">
        <v>1278</v>
      </c>
      <c r="AE210" s="80" t="s">
        <v>1331</v>
      </c>
      <c r="AF210" s="80"/>
      <c r="AG210" s="80"/>
      <c r="AH210" s="80"/>
      <c r="AI210" s="80"/>
      <c r="AJ210" s="87">
        <v>39746.01824074074</v>
      </c>
      <c r="AK210" s="85" t="str">
        <f>HYPERLINK("https://yt3.ggpht.com/ytc/AKedOLROCPtxwySYmI5-2bwdwulEO3q9XUy39HCQfl6DRA=s88-c-k-c0x00ffffff-no-rj")</f>
        <v>https://yt3.ggpht.com/ytc/AKedOLROCPtxwySYmI5-2bwdwulEO3q9XUy39HCQfl6DRA=s88-c-k-c0x00ffffff-no-rj</v>
      </c>
      <c r="AL210" s="80">
        <v>43331203</v>
      </c>
      <c r="AM210" s="80">
        <v>0</v>
      </c>
      <c r="AN210" s="80">
        <v>272000</v>
      </c>
      <c r="AO210" s="80" t="b">
        <v>0</v>
      </c>
      <c r="AP210" s="80">
        <v>9011</v>
      </c>
      <c r="AQ210" s="80"/>
      <c r="AR210" s="80"/>
      <c r="AS210" s="80" t="s">
        <v>1376</v>
      </c>
      <c r="AT210" s="85" t="str">
        <f>HYPERLINK("https://www.youtube.com/channel/UCCb9_Kn8F_Opb3UCGm-lILQ")</f>
        <v>https://www.youtube.com/channel/UCCb9_Kn8F_Opb3UCGm-lILQ</v>
      </c>
      <c r="AU210" s="80" t="str">
        <f>REPLACE(INDEX(GroupVertices[Group],MATCH(Vertices[[#This Row],[Vertex]],GroupVertices[Vertex],0)),1,1,"")</f>
        <v>2</v>
      </c>
      <c r="AV210" s="49"/>
      <c r="AW210" s="50"/>
      <c r="AX210" s="49"/>
      <c r="AY210" s="50"/>
      <c r="AZ210" s="49"/>
      <c r="BA210" s="50"/>
      <c r="BB210" s="49"/>
      <c r="BC210" s="50"/>
      <c r="BD210" s="49"/>
      <c r="BE210" s="49"/>
      <c r="BF210" s="49"/>
      <c r="BG210" s="49"/>
      <c r="BH210" s="49"/>
      <c r="BI210" s="49"/>
      <c r="BJ210" s="49"/>
      <c r="BK210" s="111" t="s">
        <v>1239</v>
      </c>
      <c r="BL210" s="111" t="s">
        <v>1239</v>
      </c>
      <c r="BM210" s="111" t="s">
        <v>1239</v>
      </c>
      <c r="BN210" s="111" t="s">
        <v>1239</v>
      </c>
      <c r="BO210" s="2"/>
      <c r="BP210" s="3"/>
      <c r="BQ210" s="3"/>
      <c r="BR210" s="3"/>
      <c r="BS210" s="3"/>
    </row>
    <row r="211" spans="1:71" ht="15">
      <c r="A211" s="65" t="s">
        <v>530</v>
      </c>
      <c r="B211" s="66"/>
      <c r="C211" s="66"/>
      <c r="D211" s="67">
        <v>150</v>
      </c>
      <c r="E211" s="69"/>
      <c r="F211" s="103" t="str">
        <f>HYPERLINK("https://yt3.ggpht.com/hRiFSzPdU2i6MuPayOZk-41YIljtHoCm2YThIp_YQjzCEvqe9MJk4djuCJhZRstoMFWT5sAJvg=s88-c-k-c0x00ffffff-no-rj")</f>
        <v>https://yt3.ggpht.com/hRiFSzPdU2i6MuPayOZk-41YIljtHoCm2YThIp_YQjzCEvqe9MJk4djuCJhZRstoMFWT5sAJvg=s88-c-k-c0x00ffffff-no-rj</v>
      </c>
      <c r="G211" s="66"/>
      <c r="H211" s="70" t="s">
        <v>1279</v>
      </c>
      <c r="I211" s="71"/>
      <c r="J211" s="71" t="s">
        <v>159</v>
      </c>
      <c r="K211" s="70" t="s">
        <v>1279</v>
      </c>
      <c r="L211" s="74">
        <v>1</v>
      </c>
      <c r="M211" s="75">
        <v>2211.38525390625</v>
      </c>
      <c r="N211" s="75">
        <v>450.3226013183594</v>
      </c>
      <c r="O211" s="76"/>
      <c r="P211" s="77"/>
      <c r="Q211" s="77"/>
      <c r="R211" s="89"/>
      <c r="S211" s="49">
        <v>1</v>
      </c>
      <c r="T211" s="49">
        <v>1</v>
      </c>
      <c r="U211" s="50">
        <v>0</v>
      </c>
      <c r="V211" s="50">
        <v>0</v>
      </c>
      <c r="W211" s="50">
        <v>0</v>
      </c>
      <c r="X211" s="50">
        <v>0.004464</v>
      </c>
      <c r="Y211" s="50">
        <v>0</v>
      </c>
      <c r="Z211" s="50">
        <v>0</v>
      </c>
      <c r="AA211" s="72">
        <v>211</v>
      </c>
      <c r="AB211" s="72"/>
      <c r="AC211" s="73"/>
      <c r="AD211" s="80" t="s">
        <v>1279</v>
      </c>
      <c r="AE211" s="80"/>
      <c r="AF211" s="80"/>
      <c r="AG211" s="80"/>
      <c r="AH211" s="80"/>
      <c r="AI211" s="80" t="s">
        <v>1369</v>
      </c>
      <c r="AJ211" s="87">
        <v>40181.71949074074</v>
      </c>
      <c r="AK211" s="85" t="str">
        <f>HYPERLINK("https://yt3.ggpht.com/hRiFSzPdU2i6MuPayOZk-41YIljtHoCm2YThIp_YQjzCEvqe9MJk4djuCJhZRstoMFWT5sAJvg=s88-c-k-c0x00ffffff-no-rj")</f>
        <v>https://yt3.ggpht.com/hRiFSzPdU2i6MuPayOZk-41YIljtHoCm2YThIp_YQjzCEvqe9MJk4djuCJhZRstoMFWT5sAJvg=s88-c-k-c0x00ffffff-no-rj</v>
      </c>
      <c r="AL211" s="80">
        <v>5371</v>
      </c>
      <c r="AM211" s="80">
        <v>0</v>
      </c>
      <c r="AN211" s="80">
        <v>12</v>
      </c>
      <c r="AO211" s="80" t="b">
        <v>0</v>
      </c>
      <c r="AP211" s="80">
        <v>11</v>
      </c>
      <c r="AQ211" s="80"/>
      <c r="AR211" s="80"/>
      <c r="AS211" s="80" t="s">
        <v>1376</v>
      </c>
      <c r="AT211" s="85" t="str">
        <f>HYPERLINK("https://www.youtube.com/channel/UCPV_4r46H2Qo-jvCJOshyCw")</f>
        <v>https://www.youtube.com/channel/UCPV_4r46H2Qo-jvCJOshyCw</v>
      </c>
      <c r="AU211" s="80" t="str">
        <f>REPLACE(INDEX(GroupVertices[Group],MATCH(Vertices[[#This Row],[Vertex]],GroupVertices[Vertex],0)),1,1,"")</f>
        <v>2</v>
      </c>
      <c r="AV211" s="49"/>
      <c r="AW211" s="50"/>
      <c r="AX211" s="49"/>
      <c r="AY211" s="50"/>
      <c r="AZ211" s="49"/>
      <c r="BA211" s="50"/>
      <c r="BB211" s="49"/>
      <c r="BC211" s="50"/>
      <c r="BD211" s="49"/>
      <c r="BE211" s="49"/>
      <c r="BF211" s="49"/>
      <c r="BG211" s="49"/>
      <c r="BH211" s="49"/>
      <c r="BI211" s="49"/>
      <c r="BJ211" s="49"/>
      <c r="BK211" s="111" t="s">
        <v>1239</v>
      </c>
      <c r="BL211" s="111" t="s">
        <v>1239</v>
      </c>
      <c r="BM211" s="111" t="s">
        <v>1239</v>
      </c>
      <c r="BN211" s="111" t="s">
        <v>1239</v>
      </c>
      <c r="BO211" s="2"/>
      <c r="BP211" s="3"/>
      <c r="BQ211" s="3"/>
      <c r="BR211" s="3"/>
      <c r="BS211" s="3"/>
    </row>
    <row r="212" spans="1:71" ht="15">
      <c r="A212" s="65" t="s">
        <v>532</v>
      </c>
      <c r="B212" s="66"/>
      <c r="C212" s="66"/>
      <c r="D212" s="67">
        <v>150</v>
      </c>
      <c r="E212" s="69"/>
      <c r="F212" s="103" t="str">
        <f>HYPERLINK("https://yt3.ggpht.com/ytc/AKedOLSjP9fchrwSqvIBvOgovxcCBYgrbvFTjknX27Q7s4M=s88-c-k-c0x00ffffff-no-rj")</f>
        <v>https://yt3.ggpht.com/ytc/AKedOLSjP9fchrwSqvIBvOgovxcCBYgrbvFTjknX27Q7s4M=s88-c-k-c0x00ffffff-no-rj</v>
      </c>
      <c r="G212" s="66"/>
      <c r="H212" s="70" t="s">
        <v>1280</v>
      </c>
      <c r="I212" s="71"/>
      <c r="J212" s="71" t="s">
        <v>159</v>
      </c>
      <c r="K212" s="70" t="s">
        <v>1280</v>
      </c>
      <c r="L212" s="74">
        <v>1</v>
      </c>
      <c r="M212" s="75">
        <v>1008.3917236328125</v>
      </c>
      <c r="N212" s="75">
        <v>450.3226013183594</v>
      </c>
      <c r="O212" s="76"/>
      <c r="P212" s="77"/>
      <c r="Q212" s="77"/>
      <c r="R212" s="89"/>
      <c r="S212" s="49">
        <v>1</v>
      </c>
      <c r="T212" s="49">
        <v>1</v>
      </c>
      <c r="U212" s="50">
        <v>0</v>
      </c>
      <c r="V212" s="50">
        <v>0</v>
      </c>
      <c r="W212" s="50">
        <v>0</v>
      </c>
      <c r="X212" s="50">
        <v>0.004464</v>
      </c>
      <c r="Y212" s="50">
        <v>0</v>
      </c>
      <c r="Z212" s="50">
        <v>0</v>
      </c>
      <c r="AA212" s="72">
        <v>212</v>
      </c>
      <c r="AB212" s="72"/>
      <c r="AC212" s="73"/>
      <c r="AD212" s="80" t="s">
        <v>1280</v>
      </c>
      <c r="AE212" s="80"/>
      <c r="AF212" s="80"/>
      <c r="AG212" s="80"/>
      <c r="AH212" s="80"/>
      <c r="AI212" s="80" t="s">
        <v>1370</v>
      </c>
      <c r="AJ212" s="87">
        <v>40843.84108796297</v>
      </c>
      <c r="AK212" s="85" t="str">
        <f>HYPERLINK("https://yt3.ggpht.com/ytc/AKedOLSjP9fchrwSqvIBvOgovxcCBYgrbvFTjknX27Q7s4M=s88-c-k-c0x00ffffff-no-rj")</f>
        <v>https://yt3.ggpht.com/ytc/AKedOLSjP9fchrwSqvIBvOgovxcCBYgrbvFTjknX27Q7s4M=s88-c-k-c0x00ffffff-no-rj</v>
      </c>
      <c r="AL212" s="80">
        <v>63</v>
      </c>
      <c r="AM212" s="80">
        <v>0</v>
      </c>
      <c r="AN212" s="80">
        <v>0</v>
      </c>
      <c r="AO212" s="80" t="b">
        <v>0</v>
      </c>
      <c r="AP212" s="80">
        <v>5</v>
      </c>
      <c r="AQ212" s="80"/>
      <c r="AR212" s="80"/>
      <c r="AS212" s="80" t="s">
        <v>1376</v>
      </c>
      <c r="AT212" s="85" t="str">
        <f>HYPERLINK("https://www.youtube.com/channel/UCNciB2joNhQCbcvuS_sf_fQ")</f>
        <v>https://www.youtube.com/channel/UCNciB2joNhQCbcvuS_sf_fQ</v>
      </c>
      <c r="AU212" s="80" t="str">
        <f>REPLACE(INDEX(GroupVertices[Group],MATCH(Vertices[[#This Row],[Vertex]],GroupVertices[Vertex],0)),1,1,"")</f>
        <v>2</v>
      </c>
      <c r="AV212" s="49"/>
      <c r="AW212" s="50"/>
      <c r="AX212" s="49"/>
      <c r="AY212" s="50"/>
      <c r="AZ212" s="49"/>
      <c r="BA212" s="50"/>
      <c r="BB212" s="49"/>
      <c r="BC212" s="50"/>
      <c r="BD212" s="49"/>
      <c r="BE212" s="49"/>
      <c r="BF212" s="49"/>
      <c r="BG212" s="49"/>
      <c r="BH212" s="49"/>
      <c r="BI212" s="49"/>
      <c r="BJ212" s="49"/>
      <c r="BK212" s="111" t="s">
        <v>1239</v>
      </c>
      <c r="BL212" s="111" t="s">
        <v>1239</v>
      </c>
      <c r="BM212" s="111" t="s">
        <v>1239</v>
      </c>
      <c r="BN212" s="111" t="s">
        <v>1239</v>
      </c>
      <c r="BO212" s="2"/>
      <c r="BP212" s="3"/>
      <c r="BQ212" s="3"/>
      <c r="BR212" s="3"/>
      <c r="BS212" s="3"/>
    </row>
    <row r="213" spans="1:71" ht="15">
      <c r="A213" s="65" t="s">
        <v>533</v>
      </c>
      <c r="B213" s="66"/>
      <c r="C213" s="66"/>
      <c r="D213" s="67">
        <v>150</v>
      </c>
      <c r="E213" s="69"/>
      <c r="F213" s="103" t="str">
        <f>HYPERLINK("https://yt3.ggpht.com/ytc/AKedOLTcifZhLqIIg9w0pG12z4UHvGrAU8FHE7eAZg0C=s88-c-k-c0x00ffffff-no-rj")</f>
        <v>https://yt3.ggpht.com/ytc/AKedOLTcifZhLqIIg9w0pG12z4UHvGrAU8FHE7eAZg0C=s88-c-k-c0x00ffffff-no-rj</v>
      </c>
      <c r="G213" s="66"/>
      <c r="H213" s="70" t="s">
        <v>1281</v>
      </c>
      <c r="I213" s="71"/>
      <c r="J213" s="71" t="s">
        <v>159</v>
      </c>
      <c r="K213" s="70" t="s">
        <v>1281</v>
      </c>
      <c r="L213" s="74">
        <v>1</v>
      </c>
      <c r="M213" s="75">
        <v>3414.37890625</v>
      </c>
      <c r="N213" s="75">
        <v>1056.879638671875</v>
      </c>
      <c r="O213" s="76"/>
      <c r="P213" s="77"/>
      <c r="Q213" s="77"/>
      <c r="R213" s="89"/>
      <c r="S213" s="49">
        <v>1</v>
      </c>
      <c r="T213" s="49">
        <v>1</v>
      </c>
      <c r="U213" s="50">
        <v>0</v>
      </c>
      <c r="V213" s="50">
        <v>0</v>
      </c>
      <c r="W213" s="50">
        <v>0</v>
      </c>
      <c r="X213" s="50">
        <v>0.004464</v>
      </c>
      <c r="Y213" s="50">
        <v>0</v>
      </c>
      <c r="Z213" s="50">
        <v>0</v>
      </c>
      <c r="AA213" s="72">
        <v>213</v>
      </c>
      <c r="AB213" s="72"/>
      <c r="AC213" s="73"/>
      <c r="AD213" s="80" t="s">
        <v>1281</v>
      </c>
      <c r="AE213" s="80"/>
      <c r="AF213" s="80"/>
      <c r="AG213" s="80"/>
      <c r="AH213" s="80"/>
      <c r="AI213" s="80"/>
      <c r="AJ213" s="87">
        <v>40829.82105324074</v>
      </c>
      <c r="AK213" s="85" t="str">
        <f>HYPERLINK("https://yt3.ggpht.com/ytc/AKedOLTcifZhLqIIg9w0pG12z4UHvGrAU8FHE7eAZg0C=s88-c-k-c0x00ffffff-no-rj")</f>
        <v>https://yt3.ggpht.com/ytc/AKedOLTcifZhLqIIg9w0pG12z4UHvGrAU8FHE7eAZg0C=s88-c-k-c0x00ffffff-no-rj</v>
      </c>
      <c r="AL213" s="80">
        <v>139932</v>
      </c>
      <c r="AM213" s="80">
        <v>0</v>
      </c>
      <c r="AN213" s="80">
        <v>532</v>
      </c>
      <c r="AO213" s="80" t="b">
        <v>0</v>
      </c>
      <c r="AP213" s="80">
        <v>64</v>
      </c>
      <c r="AQ213" s="80"/>
      <c r="AR213" s="80"/>
      <c r="AS213" s="80" t="s">
        <v>1376</v>
      </c>
      <c r="AT213" s="85" t="str">
        <f>HYPERLINK("https://www.youtube.com/channel/UCA6OvhEq-_c8R9hHdJkqp3A")</f>
        <v>https://www.youtube.com/channel/UCA6OvhEq-_c8R9hHdJkqp3A</v>
      </c>
      <c r="AU213" s="80" t="str">
        <f>REPLACE(INDEX(GroupVertices[Group],MATCH(Vertices[[#This Row],[Vertex]],GroupVertices[Vertex],0)),1,1,"")</f>
        <v>2</v>
      </c>
      <c r="AV213" s="49"/>
      <c r="AW213" s="50"/>
      <c r="AX213" s="49"/>
      <c r="AY213" s="50"/>
      <c r="AZ213" s="49"/>
      <c r="BA213" s="50"/>
      <c r="BB213" s="49"/>
      <c r="BC213" s="50"/>
      <c r="BD213" s="49"/>
      <c r="BE213" s="49"/>
      <c r="BF213" s="49"/>
      <c r="BG213" s="49"/>
      <c r="BH213" s="49"/>
      <c r="BI213" s="49"/>
      <c r="BJ213" s="49"/>
      <c r="BK213" s="111" t="s">
        <v>1239</v>
      </c>
      <c r="BL213" s="111" t="s">
        <v>1239</v>
      </c>
      <c r="BM213" s="111" t="s">
        <v>1239</v>
      </c>
      <c r="BN213" s="111" t="s">
        <v>1239</v>
      </c>
      <c r="BO213" s="2"/>
      <c r="BP213" s="3"/>
      <c r="BQ213" s="3"/>
      <c r="BR213" s="3"/>
      <c r="BS213" s="3"/>
    </row>
    <row r="214" spans="1:71" ht="15">
      <c r="A214" s="65" t="s">
        <v>534</v>
      </c>
      <c r="B214" s="66"/>
      <c r="C214" s="66"/>
      <c r="D214" s="67">
        <v>150</v>
      </c>
      <c r="E214" s="69"/>
      <c r="F214" s="103" t="str">
        <f>HYPERLINK("https://yt3.ggpht.com/ytc/AKedOLQteVRPwtt6FPj_sGlkImOk5tXvSezuMxBZDM0mNU0=s88-c-k-c0x00ffffff-no-rj")</f>
        <v>https://yt3.ggpht.com/ytc/AKedOLQteVRPwtt6FPj_sGlkImOk5tXvSezuMxBZDM0mNU0=s88-c-k-c0x00ffffff-no-rj</v>
      </c>
      <c r="G214" s="66"/>
      <c r="H214" s="70" t="s">
        <v>1282</v>
      </c>
      <c r="I214" s="71"/>
      <c r="J214" s="71" t="s">
        <v>159</v>
      </c>
      <c r="K214" s="70" t="s">
        <v>1282</v>
      </c>
      <c r="L214" s="74">
        <v>1</v>
      </c>
      <c r="M214" s="75">
        <v>406.8948974609375</v>
      </c>
      <c r="N214" s="75">
        <v>450.3226013183594</v>
      </c>
      <c r="O214" s="76"/>
      <c r="P214" s="77"/>
      <c r="Q214" s="77"/>
      <c r="R214" s="89"/>
      <c r="S214" s="49">
        <v>1</v>
      </c>
      <c r="T214" s="49">
        <v>1</v>
      </c>
      <c r="U214" s="50">
        <v>0</v>
      </c>
      <c r="V214" s="50">
        <v>0</v>
      </c>
      <c r="W214" s="50">
        <v>0</v>
      </c>
      <c r="X214" s="50">
        <v>0.004464</v>
      </c>
      <c r="Y214" s="50">
        <v>0</v>
      </c>
      <c r="Z214" s="50">
        <v>0</v>
      </c>
      <c r="AA214" s="72">
        <v>214</v>
      </c>
      <c r="AB214" s="72"/>
      <c r="AC214" s="73"/>
      <c r="AD214" s="80" t="s">
        <v>1282</v>
      </c>
      <c r="AE214" s="80" t="s">
        <v>1282</v>
      </c>
      <c r="AF214" s="80"/>
      <c r="AG214" s="80"/>
      <c r="AH214" s="80"/>
      <c r="AI214" s="80" t="s">
        <v>1371</v>
      </c>
      <c r="AJ214" s="87">
        <v>40328.495787037034</v>
      </c>
      <c r="AK214" s="85" t="str">
        <f>HYPERLINK("https://yt3.ggpht.com/ytc/AKedOLQteVRPwtt6FPj_sGlkImOk5tXvSezuMxBZDM0mNU0=s88-c-k-c0x00ffffff-no-rj")</f>
        <v>https://yt3.ggpht.com/ytc/AKedOLQteVRPwtt6FPj_sGlkImOk5tXvSezuMxBZDM0mNU0=s88-c-k-c0x00ffffff-no-rj</v>
      </c>
      <c r="AL214" s="80">
        <v>1281594</v>
      </c>
      <c r="AM214" s="80">
        <v>0</v>
      </c>
      <c r="AN214" s="80">
        <v>7080</v>
      </c>
      <c r="AO214" s="80" t="b">
        <v>0</v>
      </c>
      <c r="AP214" s="80">
        <v>197</v>
      </c>
      <c r="AQ214" s="80"/>
      <c r="AR214" s="80"/>
      <c r="AS214" s="80" t="s">
        <v>1376</v>
      </c>
      <c r="AT214" s="85" t="str">
        <f>HYPERLINK("https://www.youtube.com/channel/UCNZfOYWp05qz-k-2UKkfCTA")</f>
        <v>https://www.youtube.com/channel/UCNZfOYWp05qz-k-2UKkfCTA</v>
      </c>
      <c r="AU214" s="80" t="str">
        <f>REPLACE(INDEX(GroupVertices[Group],MATCH(Vertices[[#This Row],[Vertex]],GroupVertices[Vertex],0)),1,1,"")</f>
        <v>2</v>
      </c>
      <c r="AV214" s="49"/>
      <c r="AW214" s="50"/>
      <c r="AX214" s="49"/>
      <c r="AY214" s="50"/>
      <c r="AZ214" s="49"/>
      <c r="BA214" s="50"/>
      <c r="BB214" s="49"/>
      <c r="BC214" s="50"/>
      <c r="BD214" s="49"/>
      <c r="BE214" s="49"/>
      <c r="BF214" s="49"/>
      <c r="BG214" s="49"/>
      <c r="BH214" s="49"/>
      <c r="BI214" s="49"/>
      <c r="BJ214" s="49"/>
      <c r="BK214" s="111" t="s">
        <v>1239</v>
      </c>
      <c r="BL214" s="111" t="s">
        <v>1239</v>
      </c>
      <c r="BM214" s="111" t="s">
        <v>1239</v>
      </c>
      <c r="BN214" s="111" t="s">
        <v>1239</v>
      </c>
      <c r="BO214" s="2"/>
      <c r="BP214" s="3"/>
      <c r="BQ214" s="3"/>
      <c r="BR214" s="3"/>
      <c r="BS214" s="3"/>
    </row>
    <row r="215" spans="1:71" ht="15">
      <c r="A215" s="65" t="s">
        <v>535</v>
      </c>
      <c r="B215" s="66"/>
      <c r="C215" s="66"/>
      <c r="D215" s="67">
        <v>150</v>
      </c>
      <c r="E215" s="69"/>
      <c r="F215" s="103" t="str">
        <f>HYPERLINK("https://yt3.ggpht.com/ytc/AKedOLSWmS2cIPzeMT9wtpMsk_8SKTDjTo92IX87qrnf=s88-c-k-c0x00ffffff-no-rj")</f>
        <v>https://yt3.ggpht.com/ytc/AKedOLSWmS2cIPzeMT9wtpMsk_8SKTDjTo92IX87qrnf=s88-c-k-c0x00ffffff-no-rj</v>
      </c>
      <c r="G215" s="66"/>
      <c r="H215" s="70" t="s">
        <v>1283</v>
      </c>
      <c r="I215" s="71"/>
      <c r="J215" s="71" t="s">
        <v>159</v>
      </c>
      <c r="K215" s="70" t="s">
        <v>1283</v>
      </c>
      <c r="L215" s="74">
        <v>1</v>
      </c>
      <c r="M215" s="75">
        <v>2211.38525390625</v>
      </c>
      <c r="N215" s="75">
        <v>2269.99365234375</v>
      </c>
      <c r="O215" s="76"/>
      <c r="P215" s="77"/>
      <c r="Q215" s="77"/>
      <c r="R215" s="89"/>
      <c r="S215" s="49">
        <v>1</v>
      </c>
      <c r="T215" s="49">
        <v>1</v>
      </c>
      <c r="U215" s="50">
        <v>0</v>
      </c>
      <c r="V215" s="50">
        <v>0</v>
      </c>
      <c r="W215" s="50">
        <v>0</v>
      </c>
      <c r="X215" s="50">
        <v>0.004464</v>
      </c>
      <c r="Y215" s="50">
        <v>0</v>
      </c>
      <c r="Z215" s="50">
        <v>0</v>
      </c>
      <c r="AA215" s="72">
        <v>215</v>
      </c>
      <c r="AB215" s="72"/>
      <c r="AC215" s="73"/>
      <c r="AD215" s="80" t="s">
        <v>1283</v>
      </c>
      <c r="AE215" s="80" t="s">
        <v>1332</v>
      </c>
      <c r="AF215" s="80"/>
      <c r="AG215" s="80"/>
      <c r="AH215" s="80"/>
      <c r="AI215" s="80" t="s">
        <v>1372</v>
      </c>
      <c r="AJ215" s="87">
        <v>41626.501597222225</v>
      </c>
      <c r="AK215" s="85" t="str">
        <f>HYPERLINK("https://yt3.ggpht.com/ytc/AKedOLSWmS2cIPzeMT9wtpMsk_8SKTDjTo92IX87qrnf=s88-c-k-c0x00ffffff-no-rj")</f>
        <v>https://yt3.ggpht.com/ytc/AKedOLSWmS2cIPzeMT9wtpMsk_8SKTDjTo92IX87qrnf=s88-c-k-c0x00ffffff-no-rj</v>
      </c>
      <c r="AL215" s="80">
        <v>11926</v>
      </c>
      <c r="AM215" s="80">
        <v>0</v>
      </c>
      <c r="AN215" s="80">
        <v>126</v>
      </c>
      <c r="AO215" s="80" t="b">
        <v>0</v>
      </c>
      <c r="AP215" s="80">
        <v>6</v>
      </c>
      <c r="AQ215" s="80"/>
      <c r="AR215" s="80"/>
      <c r="AS215" s="80" t="s">
        <v>1376</v>
      </c>
      <c r="AT215" s="85" t="str">
        <f>HYPERLINK("https://www.youtube.com/channel/UCo0TNY6-xhfq93AOKF_zDng")</f>
        <v>https://www.youtube.com/channel/UCo0TNY6-xhfq93AOKF_zDng</v>
      </c>
      <c r="AU215" s="80" t="str">
        <f>REPLACE(INDEX(GroupVertices[Group],MATCH(Vertices[[#This Row],[Vertex]],GroupVertices[Vertex],0)),1,1,"")</f>
        <v>2</v>
      </c>
      <c r="AV215" s="49"/>
      <c r="AW215" s="50"/>
      <c r="AX215" s="49"/>
      <c r="AY215" s="50"/>
      <c r="AZ215" s="49"/>
      <c r="BA215" s="50"/>
      <c r="BB215" s="49"/>
      <c r="BC215" s="50"/>
      <c r="BD215" s="49"/>
      <c r="BE215" s="49"/>
      <c r="BF215" s="49"/>
      <c r="BG215" s="49"/>
      <c r="BH215" s="49"/>
      <c r="BI215" s="49"/>
      <c r="BJ215" s="49"/>
      <c r="BK215" s="111" t="s">
        <v>1239</v>
      </c>
      <c r="BL215" s="111" t="s">
        <v>1239</v>
      </c>
      <c r="BM215" s="111" t="s">
        <v>1239</v>
      </c>
      <c r="BN215" s="111" t="s">
        <v>1239</v>
      </c>
      <c r="BO215" s="2"/>
      <c r="BP215" s="3"/>
      <c r="BQ215" s="3"/>
      <c r="BR215" s="3"/>
      <c r="BS215" s="3"/>
    </row>
    <row r="216" spans="1:71" ht="15">
      <c r="A216" s="65" t="s">
        <v>537</v>
      </c>
      <c r="B216" s="66"/>
      <c r="C216" s="66"/>
      <c r="D216" s="67">
        <v>150</v>
      </c>
      <c r="E216" s="69"/>
      <c r="F216" s="103" t="str">
        <f>HYPERLINK("https://yt3.ggpht.com/ytc/AKedOLQys_zmbBDt98cOJ36ATot-Q-wUr2ACRu4mANIuxWk=s88-c-k-c0x00ffffff-no-rj")</f>
        <v>https://yt3.ggpht.com/ytc/AKedOLQys_zmbBDt98cOJ36ATot-Q-wUr2ACRu4mANIuxWk=s88-c-k-c0x00ffffff-no-rj</v>
      </c>
      <c r="G216" s="66"/>
      <c r="H216" s="70" t="s">
        <v>1032</v>
      </c>
      <c r="I216" s="71"/>
      <c r="J216" s="71" t="s">
        <v>159</v>
      </c>
      <c r="K216" s="70" t="s">
        <v>1032</v>
      </c>
      <c r="L216" s="74">
        <v>1</v>
      </c>
      <c r="M216" s="75">
        <v>2812.882080078125</v>
      </c>
      <c r="N216" s="75">
        <v>2269.99365234375</v>
      </c>
      <c r="O216" s="76"/>
      <c r="P216" s="77"/>
      <c r="Q216" s="77"/>
      <c r="R216" s="89"/>
      <c r="S216" s="49">
        <v>1</v>
      </c>
      <c r="T216" s="49">
        <v>1</v>
      </c>
      <c r="U216" s="50">
        <v>0</v>
      </c>
      <c r="V216" s="50">
        <v>0</v>
      </c>
      <c r="W216" s="50">
        <v>0</v>
      </c>
      <c r="X216" s="50">
        <v>0.004464</v>
      </c>
      <c r="Y216" s="50">
        <v>0</v>
      </c>
      <c r="Z216" s="50">
        <v>0</v>
      </c>
      <c r="AA216" s="72">
        <v>216</v>
      </c>
      <c r="AB216" s="72"/>
      <c r="AC216" s="73"/>
      <c r="AD216" s="80" t="s">
        <v>1032</v>
      </c>
      <c r="AE216" s="80" t="s">
        <v>1333</v>
      </c>
      <c r="AF216" s="80"/>
      <c r="AG216" s="80"/>
      <c r="AH216" s="80"/>
      <c r="AI216" s="80" t="s">
        <v>1373</v>
      </c>
      <c r="AJ216" s="87">
        <v>38903.705034722225</v>
      </c>
      <c r="AK216" s="85" t="str">
        <f>HYPERLINK("https://yt3.ggpht.com/ytc/AKedOLQys_zmbBDt98cOJ36ATot-Q-wUr2ACRu4mANIuxWk=s88-c-k-c0x00ffffff-no-rj")</f>
        <v>https://yt3.ggpht.com/ytc/AKedOLQys_zmbBDt98cOJ36ATot-Q-wUr2ACRu4mANIuxWk=s88-c-k-c0x00ffffff-no-rj</v>
      </c>
      <c r="AL216" s="80">
        <v>470046</v>
      </c>
      <c r="AM216" s="80">
        <v>0</v>
      </c>
      <c r="AN216" s="80">
        <v>722</v>
      </c>
      <c r="AO216" s="80" t="b">
        <v>0</v>
      </c>
      <c r="AP216" s="80">
        <v>183</v>
      </c>
      <c r="AQ216" s="80"/>
      <c r="AR216" s="80"/>
      <c r="AS216" s="80" t="s">
        <v>1376</v>
      </c>
      <c r="AT216" s="85" t="str">
        <f>HYPERLINK("https://www.youtube.com/channel/UCcBoleECTMUEbXqg2AZNHdg")</f>
        <v>https://www.youtube.com/channel/UCcBoleECTMUEbXqg2AZNHdg</v>
      </c>
      <c r="AU216" s="80" t="str">
        <f>REPLACE(INDEX(GroupVertices[Group],MATCH(Vertices[[#This Row],[Vertex]],GroupVertices[Vertex],0)),1,1,"")</f>
        <v>2</v>
      </c>
      <c r="AV216" s="49">
        <v>0</v>
      </c>
      <c r="AW216" s="50">
        <v>0</v>
      </c>
      <c r="AX216" s="49">
        <v>0</v>
      </c>
      <c r="AY216" s="50">
        <v>0</v>
      </c>
      <c r="AZ216" s="49">
        <v>0</v>
      </c>
      <c r="BA216" s="50">
        <v>0</v>
      </c>
      <c r="BB216" s="49">
        <v>21</v>
      </c>
      <c r="BC216" s="50">
        <v>100</v>
      </c>
      <c r="BD216" s="49">
        <v>21</v>
      </c>
      <c r="BE216" s="49"/>
      <c r="BF216" s="49"/>
      <c r="BG216" s="49"/>
      <c r="BH216" s="49"/>
      <c r="BI216" s="49"/>
      <c r="BJ216" s="49"/>
      <c r="BK216" s="111" t="s">
        <v>2519</v>
      </c>
      <c r="BL216" s="111" t="s">
        <v>2519</v>
      </c>
      <c r="BM216" s="111" t="s">
        <v>2706</v>
      </c>
      <c r="BN216" s="111" t="s">
        <v>2706</v>
      </c>
      <c r="BO216" s="2"/>
      <c r="BP216" s="3"/>
      <c r="BQ216" s="3"/>
      <c r="BR216" s="3"/>
      <c r="BS216" s="3"/>
    </row>
    <row r="217" spans="1:71" ht="15">
      <c r="A217" s="65" t="s">
        <v>538</v>
      </c>
      <c r="B217" s="66"/>
      <c r="C217" s="66"/>
      <c r="D217" s="67">
        <v>150</v>
      </c>
      <c r="E217" s="69"/>
      <c r="F217" s="103" t="str">
        <f>HYPERLINK("https://yt3.ggpht.com/ytc/AKedOLSK-a7vI6zjSWvW-fdzsn_nC8CW_jrAwIsxFW2Wkw=s88-c-k-c0x00ffffff-no-rj")</f>
        <v>https://yt3.ggpht.com/ytc/AKedOLSK-a7vI6zjSWvW-fdzsn_nC8CW_jrAwIsxFW2Wkw=s88-c-k-c0x00ffffff-no-rj</v>
      </c>
      <c r="G217" s="66"/>
      <c r="H217" s="70" t="s">
        <v>1284</v>
      </c>
      <c r="I217" s="71"/>
      <c r="J217" s="71" t="s">
        <v>159</v>
      </c>
      <c r="K217" s="70" t="s">
        <v>1284</v>
      </c>
      <c r="L217" s="74">
        <v>1</v>
      </c>
      <c r="M217" s="75">
        <v>1609.8885498046875</v>
      </c>
      <c r="N217" s="75">
        <v>2269.99365234375</v>
      </c>
      <c r="O217" s="76"/>
      <c r="P217" s="77"/>
      <c r="Q217" s="77"/>
      <c r="R217" s="89"/>
      <c r="S217" s="49">
        <v>1</v>
      </c>
      <c r="T217" s="49">
        <v>1</v>
      </c>
      <c r="U217" s="50">
        <v>0</v>
      </c>
      <c r="V217" s="50">
        <v>0</v>
      </c>
      <c r="W217" s="50">
        <v>0</v>
      </c>
      <c r="X217" s="50">
        <v>0.004464</v>
      </c>
      <c r="Y217" s="50">
        <v>0</v>
      </c>
      <c r="Z217" s="50">
        <v>0</v>
      </c>
      <c r="AA217" s="72">
        <v>217</v>
      </c>
      <c r="AB217" s="72"/>
      <c r="AC217" s="73"/>
      <c r="AD217" s="80" t="s">
        <v>1284</v>
      </c>
      <c r="AE217" s="80"/>
      <c r="AF217" s="80"/>
      <c r="AG217" s="80"/>
      <c r="AH217" s="80"/>
      <c r="AI217" s="80"/>
      <c r="AJ217" s="87">
        <v>41552.90013888889</v>
      </c>
      <c r="AK217" s="85" t="str">
        <f>HYPERLINK("https://yt3.ggpht.com/ytc/AKedOLSK-a7vI6zjSWvW-fdzsn_nC8CW_jrAwIsxFW2Wkw=s88-c-k-c0x00ffffff-no-rj")</f>
        <v>https://yt3.ggpht.com/ytc/AKedOLSK-a7vI6zjSWvW-fdzsn_nC8CW_jrAwIsxFW2Wkw=s88-c-k-c0x00ffffff-no-rj</v>
      </c>
      <c r="AL217" s="80">
        <v>840</v>
      </c>
      <c r="AM217" s="80">
        <v>0</v>
      </c>
      <c r="AN217" s="80">
        <v>11</v>
      </c>
      <c r="AO217" s="80" t="b">
        <v>0</v>
      </c>
      <c r="AP217" s="80">
        <v>9</v>
      </c>
      <c r="AQ217" s="80"/>
      <c r="AR217" s="80"/>
      <c r="AS217" s="80" t="s">
        <v>1376</v>
      </c>
      <c r="AT217" s="85" t="str">
        <f>HYPERLINK("https://www.youtube.com/channel/UCgGajeuaTuh2HMsWDSnsD7Q")</f>
        <v>https://www.youtube.com/channel/UCgGajeuaTuh2HMsWDSnsD7Q</v>
      </c>
      <c r="AU217" s="80" t="str">
        <f>REPLACE(INDEX(GroupVertices[Group],MATCH(Vertices[[#This Row],[Vertex]],GroupVertices[Vertex],0)),1,1,"")</f>
        <v>2</v>
      </c>
      <c r="AV217" s="49"/>
      <c r="AW217" s="50"/>
      <c r="AX217" s="49"/>
      <c r="AY217" s="50"/>
      <c r="AZ217" s="49"/>
      <c r="BA217" s="50"/>
      <c r="BB217" s="49"/>
      <c r="BC217" s="50"/>
      <c r="BD217" s="49"/>
      <c r="BE217" s="49"/>
      <c r="BF217" s="49"/>
      <c r="BG217" s="49"/>
      <c r="BH217" s="49"/>
      <c r="BI217" s="49"/>
      <c r="BJ217" s="49"/>
      <c r="BK217" s="111" t="s">
        <v>1239</v>
      </c>
      <c r="BL217" s="111" t="s">
        <v>1239</v>
      </c>
      <c r="BM217" s="111" t="s">
        <v>1239</v>
      </c>
      <c r="BN217" s="111" t="s">
        <v>1239</v>
      </c>
      <c r="BO217" s="2"/>
      <c r="BP217" s="3"/>
      <c r="BQ217" s="3"/>
      <c r="BR217" s="3"/>
      <c r="BS217" s="3"/>
    </row>
    <row r="218" spans="1:71" ht="15">
      <c r="A218" s="65" t="s">
        <v>539</v>
      </c>
      <c r="B218" s="66"/>
      <c r="C218" s="66"/>
      <c r="D218" s="67">
        <v>150</v>
      </c>
      <c r="E218" s="69"/>
      <c r="F218" s="103" t="str">
        <f>HYPERLINK("https://yt3.ggpht.com/ytc/AKedOLTVLKn76KSXjD9GkjNMfcWV1OErfS6uT41ws2UA=s88-c-k-c0x00ffffff-no-rj")</f>
        <v>https://yt3.ggpht.com/ytc/AKedOLTVLKn76KSXjD9GkjNMfcWV1OErfS6uT41ws2UA=s88-c-k-c0x00ffffff-no-rj</v>
      </c>
      <c r="G218" s="66"/>
      <c r="H218" s="70" t="s">
        <v>1285</v>
      </c>
      <c r="I218" s="71"/>
      <c r="J218" s="71" t="s">
        <v>159</v>
      </c>
      <c r="K218" s="70" t="s">
        <v>1285</v>
      </c>
      <c r="L218" s="74">
        <v>1</v>
      </c>
      <c r="M218" s="75">
        <v>3821.27392578125</v>
      </c>
      <c r="N218" s="75">
        <v>1568.471923828125</v>
      </c>
      <c r="O218" s="76"/>
      <c r="P218" s="77"/>
      <c r="Q218" s="77"/>
      <c r="R218" s="89"/>
      <c r="S218" s="49">
        <v>2</v>
      </c>
      <c r="T218" s="49">
        <v>1</v>
      </c>
      <c r="U218" s="50">
        <v>0</v>
      </c>
      <c r="V218" s="50">
        <v>0.163648</v>
      </c>
      <c r="W218" s="50">
        <v>0.013575</v>
      </c>
      <c r="X218" s="50">
        <v>0.00422</v>
      </c>
      <c r="Y218" s="50">
        <v>0</v>
      </c>
      <c r="Z218" s="50">
        <v>0</v>
      </c>
      <c r="AA218" s="72">
        <v>218</v>
      </c>
      <c r="AB218" s="72"/>
      <c r="AC218" s="73"/>
      <c r="AD218" s="80" t="s">
        <v>1285</v>
      </c>
      <c r="AE218" s="80" t="s">
        <v>1334</v>
      </c>
      <c r="AF218" s="80"/>
      <c r="AG218" s="80"/>
      <c r="AH218" s="80"/>
      <c r="AI218" s="80" t="s">
        <v>1374</v>
      </c>
      <c r="AJ218" s="87">
        <v>41754.672002314815</v>
      </c>
      <c r="AK218" s="85" t="str">
        <f>HYPERLINK("https://yt3.ggpht.com/ytc/AKedOLTVLKn76KSXjD9GkjNMfcWV1OErfS6uT41ws2UA=s88-c-k-c0x00ffffff-no-rj")</f>
        <v>https://yt3.ggpht.com/ytc/AKedOLTVLKn76KSXjD9GkjNMfcWV1OErfS6uT41ws2UA=s88-c-k-c0x00ffffff-no-rj</v>
      </c>
      <c r="AL218" s="80">
        <v>571</v>
      </c>
      <c r="AM218" s="80">
        <v>0</v>
      </c>
      <c r="AN218" s="80">
        <v>6</v>
      </c>
      <c r="AO218" s="80" t="b">
        <v>0</v>
      </c>
      <c r="AP218" s="80">
        <v>12</v>
      </c>
      <c r="AQ218" s="80"/>
      <c r="AR218" s="80"/>
      <c r="AS218" s="80" t="s">
        <v>1376</v>
      </c>
      <c r="AT218" s="85" t="str">
        <f>HYPERLINK("https://www.youtube.com/channel/UC_gmpAYBi-b5LaCaWZnDBhQ")</f>
        <v>https://www.youtube.com/channel/UC_gmpAYBi-b5LaCaWZnDBhQ</v>
      </c>
      <c r="AU218" s="80" t="str">
        <f>REPLACE(INDEX(GroupVertices[Group],MATCH(Vertices[[#This Row],[Vertex]],GroupVertices[Vertex],0)),1,1,"")</f>
        <v>6</v>
      </c>
      <c r="AV218" s="49"/>
      <c r="AW218" s="50"/>
      <c r="AX218" s="49"/>
      <c r="AY218" s="50"/>
      <c r="AZ218" s="49"/>
      <c r="BA218" s="50"/>
      <c r="BB218" s="49"/>
      <c r="BC218" s="50"/>
      <c r="BD218" s="49"/>
      <c r="BE218" s="49"/>
      <c r="BF218" s="49"/>
      <c r="BG218" s="49"/>
      <c r="BH218" s="49"/>
      <c r="BI218" s="49"/>
      <c r="BJ218" s="49"/>
      <c r="BK218" s="111" t="s">
        <v>1239</v>
      </c>
      <c r="BL218" s="111" t="s">
        <v>1239</v>
      </c>
      <c r="BM218" s="111" t="s">
        <v>1239</v>
      </c>
      <c r="BN218" s="111" t="s">
        <v>1239</v>
      </c>
      <c r="BO218" s="2"/>
      <c r="BP218" s="3"/>
      <c r="BQ218" s="3"/>
      <c r="BR218" s="3"/>
      <c r="BS218" s="3"/>
    </row>
    <row r="219" spans="1:71" ht="15">
      <c r="A219" s="65" t="s">
        <v>540</v>
      </c>
      <c r="B219" s="66"/>
      <c r="C219" s="66"/>
      <c r="D219" s="67">
        <v>150</v>
      </c>
      <c r="E219" s="69"/>
      <c r="F219" s="103" t="str">
        <f>HYPERLINK("https://yt3.ggpht.com/ytc/AKedOLTDBEZq7amqomXPZojBFDR10bTjgJocgNouMFcq=s88-c-k-c0x00ffffff-no-rj")</f>
        <v>https://yt3.ggpht.com/ytc/AKedOLTDBEZq7amqomXPZojBFDR10bTjgJocgNouMFcq=s88-c-k-c0x00ffffff-no-rj</v>
      </c>
      <c r="G219" s="66"/>
      <c r="H219" s="70" t="s">
        <v>1286</v>
      </c>
      <c r="I219" s="71"/>
      <c r="J219" s="71" t="s">
        <v>159</v>
      </c>
      <c r="K219" s="70" t="s">
        <v>1286</v>
      </c>
      <c r="L219" s="74">
        <v>1</v>
      </c>
      <c r="M219" s="75">
        <v>406.8948974609375</v>
      </c>
      <c r="N219" s="75">
        <v>2269.99365234375</v>
      </c>
      <c r="O219" s="76"/>
      <c r="P219" s="77"/>
      <c r="Q219" s="77"/>
      <c r="R219" s="89"/>
      <c r="S219" s="49">
        <v>1</v>
      </c>
      <c r="T219" s="49">
        <v>1</v>
      </c>
      <c r="U219" s="50">
        <v>0</v>
      </c>
      <c r="V219" s="50">
        <v>0</v>
      </c>
      <c r="W219" s="50">
        <v>0</v>
      </c>
      <c r="X219" s="50">
        <v>0.004464</v>
      </c>
      <c r="Y219" s="50">
        <v>0</v>
      </c>
      <c r="Z219" s="50">
        <v>0</v>
      </c>
      <c r="AA219" s="72">
        <v>219</v>
      </c>
      <c r="AB219" s="72"/>
      <c r="AC219" s="73"/>
      <c r="AD219" s="80" t="s">
        <v>1286</v>
      </c>
      <c r="AE219" s="80"/>
      <c r="AF219" s="80"/>
      <c r="AG219" s="80"/>
      <c r="AH219" s="80"/>
      <c r="AI219" s="80"/>
      <c r="AJ219" s="87">
        <v>42118.92733796296</v>
      </c>
      <c r="AK219" s="85" t="str">
        <f>HYPERLINK("https://yt3.ggpht.com/ytc/AKedOLTDBEZq7amqomXPZojBFDR10bTjgJocgNouMFcq=s88-c-k-c0x00ffffff-no-rj")</f>
        <v>https://yt3.ggpht.com/ytc/AKedOLTDBEZq7amqomXPZojBFDR10bTjgJocgNouMFcq=s88-c-k-c0x00ffffff-no-rj</v>
      </c>
      <c r="AL219" s="80">
        <v>8657</v>
      </c>
      <c r="AM219" s="80">
        <v>0</v>
      </c>
      <c r="AN219" s="80">
        <v>38</v>
      </c>
      <c r="AO219" s="80" t="b">
        <v>0</v>
      </c>
      <c r="AP219" s="80">
        <v>14</v>
      </c>
      <c r="AQ219" s="80"/>
      <c r="AR219" s="80"/>
      <c r="AS219" s="80" t="s">
        <v>1376</v>
      </c>
      <c r="AT219" s="85" t="str">
        <f>HYPERLINK("https://www.youtube.com/channel/UCqDiq5jdrPYU0Qck9GJDbRg")</f>
        <v>https://www.youtube.com/channel/UCqDiq5jdrPYU0Qck9GJDbRg</v>
      </c>
      <c r="AU219" s="80" t="str">
        <f>REPLACE(INDEX(GroupVertices[Group],MATCH(Vertices[[#This Row],[Vertex]],GroupVertices[Vertex],0)),1,1,"")</f>
        <v>2</v>
      </c>
      <c r="AV219" s="49"/>
      <c r="AW219" s="50"/>
      <c r="AX219" s="49"/>
      <c r="AY219" s="50"/>
      <c r="AZ219" s="49"/>
      <c r="BA219" s="50"/>
      <c r="BB219" s="49"/>
      <c r="BC219" s="50"/>
      <c r="BD219" s="49"/>
      <c r="BE219" s="49"/>
      <c r="BF219" s="49"/>
      <c r="BG219" s="49"/>
      <c r="BH219" s="49"/>
      <c r="BI219" s="49"/>
      <c r="BJ219" s="49"/>
      <c r="BK219" s="111" t="s">
        <v>1239</v>
      </c>
      <c r="BL219" s="111" t="s">
        <v>1239</v>
      </c>
      <c r="BM219" s="111" t="s">
        <v>1239</v>
      </c>
      <c r="BN219" s="111" t="s">
        <v>1239</v>
      </c>
      <c r="BO219" s="2"/>
      <c r="BP219" s="3"/>
      <c r="BQ219" s="3"/>
      <c r="BR219" s="3"/>
      <c r="BS219" s="3"/>
    </row>
    <row r="220" spans="1:71" ht="15">
      <c r="A220" s="65" t="s">
        <v>541</v>
      </c>
      <c r="B220" s="66"/>
      <c r="C220" s="66"/>
      <c r="D220" s="67">
        <v>150</v>
      </c>
      <c r="E220" s="69"/>
      <c r="F220" s="103" t="str">
        <f>HYPERLINK("https://yt3.ggpht.com/ytc/AKedOLQyRfpQTJ4FXjOgUoru-F_7FWU8U_s1Mu0OaKzonA=s88-c-k-c0x00ffffff-no-rj")</f>
        <v>https://yt3.ggpht.com/ytc/AKedOLQyRfpQTJ4FXjOgUoru-F_7FWU8U_s1Mu0OaKzonA=s88-c-k-c0x00ffffff-no-rj</v>
      </c>
      <c r="G220" s="66"/>
      <c r="H220" s="70" t="s">
        <v>1287</v>
      </c>
      <c r="I220" s="71"/>
      <c r="J220" s="71" t="s">
        <v>159</v>
      </c>
      <c r="K220" s="70" t="s">
        <v>1287</v>
      </c>
      <c r="L220" s="74">
        <v>1</v>
      </c>
      <c r="M220" s="75">
        <v>1008.3917236328125</v>
      </c>
      <c r="N220" s="75">
        <v>2269.99365234375</v>
      </c>
      <c r="O220" s="76"/>
      <c r="P220" s="77"/>
      <c r="Q220" s="77"/>
      <c r="R220" s="89"/>
      <c r="S220" s="49">
        <v>1</v>
      </c>
      <c r="T220" s="49">
        <v>1</v>
      </c>
      <c r="U220" s="50">
        <v>0</v>
      </c>
      <c r="V220" s="50">
        <v>0</v>
      </c>
      <c r="W220" s="50">
        <v>0</v>
      </c>
      <c r="X220" s="50">
        <v>0.004464</v>
      </c>
      <c r="Y220" s="50">
        <v>0</v>
      </c>
      <c r="Z220" s="50">
        <v>0</v>
      </c>
      <c r="AA220" s="72">
        <v>220</v>
      </c>
      <c r="AB220" s="72"/>
      <c r="AC220" s="73"/>
      <c r="AD220" s="80" t="s">
        <v>1287</v>
      </c>
      <c r="AE220" s="80" t="s">
        <v>1335</v>
      </c>
      <c r="AF220" s="80"/>
      <c r="AG220" s="80"/>
      <c r="AH220" s="80"/>
      <c r="AI220" s="80"/>
      <c r="AJ220" s="87">
        <v>41308.96388888889</v>
      </c>
      <c r="AK220" s="85" t="str">
        <f>HYPERLINK("https://yt3.ggpht.com/ytc/AKedOLQyRfpQTJ4FXjOgUoru-F_7FWU8U_s1Mu0OaKzonA=s88-c-k-c0x00ffffff-no-rj")</f>
        <v>https://yt3.ggpht.com/ytc/AKedOLQyRfpQTJ4FXjOgUoru-F_7FWU8U_s1Mu0OaKzonA=s88-c-k-c0x00ffffff-no-rj</v>
      </c>
      <c r="AL220" s="80">
        <v>7423</v>
      </c>
      <c r="AM220" s="80">
        <v>0</v>
      </c>
      <c r="AN220" s="80">
        <v>82</v>
      </c>
      <c r="AO220" s="80" t="b">
        <v>0</v>
      </c>
      <c r="AP220" s="80">
        <v>41</v>
      </c>
      <c r="AQ220" s="80"/>
      <c r="AR220" s="80"/>
      <c r="AS220" s="80" t="s">
        <v>1376</v>
      </c>
      <c r="AT220" s="85" t="str">
        <f>HYPERLINK("https://www.youtube.com/channel/UCEqAdgfHAPJPDq0hZqxjvyA")</f>
        <v>https://www.youtube.com/channel/UCEqAdgfHAPJPDq0hZqxjvyA</v>
      </c>
      <c r="AU220" s="80" t="str">
        <f>REPLACE(INDEX(GroupVertices[Group],MATCH(Vertices[[#This Row],[Vertex]],GroupVertices[Vertex],0)),1,1,"")</f>
        <v>2</v>
      </c>
      <c r="AV220" s="49"/>
      <c r="AW220" s="50"/>
      <c r="AX220" s="49"/>
      <c r="AY220" s="50"/>
      <c r="AZ220" s="49"/>
      <c r="BA220" s="50"/>
      <c r="BB220" s="49"/>
      <c r="BC220" s="50"/>
      <c r="BD220" s="49"/>
      <c r="BE220" s="49"/>
      <c r="BF220" s="49"/>
      <c r="BG220" s="49"/>
      <c r="BH220" s="49"/>
      <c r="BI220" s="49"/>
      <c r="BJ220" s="49"/>
      <c r="BK220" s="111" t="s">
        <v>1239</v>
      </c>
      <c r="BL220" s="111" t="s">
        <v>1239</v>
      </c>
      <c r="BM220" s="111" t="s">
        <v>1239</v>
      </c>
      <c r="BN220" s="111" t="s">
        <v>1239</v>
      </c>
      <c r="BO220" s="2"/>
      <c r="BP220" s="3"/>
      <c r="BQ220" s="3"/>
      <c r="BR220" s="3"/>
      <c r="BS220" s="3"/>
    </row>
    <row r="221" spans="1:71" ht="15">
      <c r="A221" s="65" t="s">
        <v>545</v>
      </c>
      <c r="B221" s="66"/>
      <c r="C221" s="66"/>
      <c r="D221" s="67">
        <v>150</v>
      </c>
      <c r="E221" s="69"/>
      <c r="F221" s="103" t="str">
        <f>HYPERLINK("https://yt3.ggpht.com/ytc/AKedOLQlKJYCcTIDn7cb0GgLO7hNDmEFYP76RtRe-xk=s88-c-k-c0x00ffffff-no-rj")</f>
        <v>https://yt3.ggpht.com/ytc/AKedOLQlKJYCcTIDn7cb0GgLO7hNDmEFYP76RtRe-xk=s88-c-k-c0x00ffffff-no-rj</v>
      </c>
      <c r="G221" s="66"/>
      <c r="H221" s="70" t="s">
        <v>1288</v>
      </c>
      <c r="I221" s="71"/>
      <c r="J221" s="71" t="s">
        <v>159</v>
      </c>
      <c r="K221" s="70" t="s">
        <v>1288</v>
      </c>
      <c r="L221" s="74">
        <v>1</v>
      </c>
      <c r="M221" s="75">
        <v>3414.37890625</v>
      </c>
      <c r="N221" s="75">
        <v>2269.99365234375</v>
      </c>
      <c r="O221" s="76"/>
      <c r="P221" s="77"/>
      <c r="Q221" s="77"/>
      <c r="R221" s="89"/>
      <c r="S221" s="49">
        <v>1</v>
      </c>
      <c r="T221" s="49">
        <v>1</v>
      </c>
      <c r="U221" s="50">
        <v>0</v>
      </c>
      <c r="V221" s="50">
        <v>0</v>
      </c>
      <c r="W221" s="50">
        <v>0</v>
      </c>
      <c r="X221" s="50">
        <v>0.004464</v>
      </c>
      <c r="Y221" s="50">
        <v>0</v>
      </c>
      <c r="Z221" s="50">
        <v>0</v>
      </c>
      <c r="AA221" s="72">
        <v>221</v>
      </c>
      <c r="AB221" s="72"/>
      <c r="AC221" s="73"/>
      <c r="AD221" s="80" t="s">
        <v>1288</v>
      </c>
      <c r="AE221" s="80" t="s">
        <v>1336</v>
      </c>
      <c r="AF221" s="80"/>
      <c r="AG221" s="80"/>
      <c r="AH221" s="80"/>
      <c r="AI221" s="80"/>
      <c r="AJ221" s="87">
        <v>43109.87900462963</v>
      </c>
      <c r="AK221" s="85" t="str">
        <f>HYPERLINK("https://yt3.ggpht.com/ytc/AKedOLQlKJYCcTIDn7cb0GgLO7hNDmEFYP76RtRe-xk=s88-c-k-c0x00ffffff-no-rj")</f>
        <v>https://yt3.ggpht.com/ytc/AKedOLQlKJYCcTIDn7cb0GgLO7hNDmEFYP76RtRe-xk=s88-c-k-c0x00ffffff-no-rj</v>
      </c>
      <c r="AL221" s="80">
        <v>944</v>
      </c>
      <c r="AM221" s="80">
        <v>0</v>
      </c>
      <c r="AN221" s="80">
        <v>35</v>
      </c>
      <c r="AO221" s="80" t="b">
        <v>0</v>
      </c>
      <c r="AP221" s="80">
        <v>8</v>
      </c>
      <c r="AQ221" s="80"/>
      <c r="AR221" s="80"/>
      <c r="AS221" s="80" t="s">
        <v>1376</v>
      </c>
      <c r="AT221" s="85" t="str">
        <f>HYPERLINK("https://www.youtube.com/channel/UCszcmo-D454RsJIOheCu7QQ")</f>
        <v>https://www.youtube.com/channel/UCszcmo-D454RsJIOheCu7QQ</v>
      </c>
      <c r="AU221" s="80" t="str">
        <f>REPLACE(INDEX(GroupVertices[Group],MATCH(Vertices[[#This Row],[Vertex]],GroupVertices[Vertex],0)),1,1,"")</f>
        <v>2</v>
      </c>
      <c r="AV221" s="49"/>
      <c r="AW221" s="50"/>
      <c r="AX221" s="49"/>
      <c r="AY221" s="50"/>
      <c r="AZ221" s="49"/>
      <c r="BA221" s="50"/>
      <c r="BB221" s="49"/>
      <c r="BC221" s="50"/>
      <c r="BD221" s="49"/>
      <c r="BE221" s="49"/>
      <c r="BF221" s="49"/>
      <c r="BG221" s="49"/>
      <c r="BH221" s="49"/>
      <c r="BI221" s="49"/>
      <c r="BJ221" s="49"/>
      <c r="BK221" s="111" t="s">
        <v>1239</v>
      </c>
      <c r="BL221" s="111" t="s">
        <v>1239</v>
      </c>
      <c r="BM221" s="111" t="s">
        <v>1239</v>
      </c>
      <c r="BN221" s="111" t="s">
        <v>1239</v>
      </c>
      <c r="BO221" s="2"/>
      <c r="BP221" s="3"/>
      <c r="BQ221" s="3"/>
      <c r="BR221" s="3"/>
      <c r="BS221" s="3"/>
    </row>
    <row r="222" spans="1:71" ht="15">
      <c r="A222" s="65" t="s">
        <v>547</v>
      </c>
      <c r="B222" s="66"/>
      <c r="C222" s="66"/>
      <c r="D222" s="67">
        <v>150</v>
      </c>
      <c r="E222" s="69"/>
      <c r="F222" s="103" t="str">
        <f>HYPERLINK("https://yt3.ggpht.com/ytc/AKedOLTOUmNMQo8wVy25GZzzPwXMa4DPTOnjQsJwdw=s88-c-k-c0x00ffffff-no-rj")</f>
        <v>https://yt3.ggpht.com/ytc/AKedOLTOUmNMQo8wVy25GZzzPwXMa4DPTOnjQsJwdw=s88-c-k-c0x00ffffff-no-rj</v>
      </c>
      <c r="G222" s="66"/>
      <c r="H222" s="70" t="s">
        <v>1289</v>
      </c>
      <c r="I222" s="71"/>
      <c r="J222" s="71" t="s">
        <v>159</v>
      </c>
      <c r="K222" s="70" t="s">
        <v>1289</v>
      </c>
      <c r="L222" s="74">
        <v>1</v>
      </c>
      <c r="M222" s="75">
        <v>2211.38525390625</v>
      </c>
      <c r="N222" s="75">
        <v>1663.4365234375</v>
      </c>
      <c r="O222" s="76"/>
      <c r="P222" s="77"/>
      <c r="Q222" s="77"/>
      <c r="R222" s="89"/>
      <c r="S222" s="49">
        <v>1</v>
      </c>
      <c r="T222" s="49">
        <v>1</v>
      </c>
      <c r="U222" s="50">
        <v>0</v>
      </c>
      <c r="V222" s="50">
        <v>0</v>
      </c>
      <c r="W222" s="50">
        <v>0</v>
      </c>
      <c r="X222" s="50">
        <v>0.004464</v>
      </c>
      <c r="Y222" s="50">
        <v>0</v>
      </c>
      <c r="Z222" s="50">
        <v>0</v>
      </c>
      <c r="AA222" s="72">
        <v>222</v>
      </c>
      <c r="AB222" s="72"/>
      <c r="AC222" s="73"/>
      <c r="AD222" s="80" t="s">
        <v>1289</v>
      </c>
      <c r="AE222" s="80" t="s">
        <v>1337</v>
      </c>
      <c r="AF222" s="80"/>
      <c r="AG222" s="80"/>
      <c r="AH222" s="80"/>
      <c r="AI222" s="80"/>
      <c r="AJ222" s="87">
        <v>43928.42261574074</v>
      </c>
      <c r="AK222" s="85" t="str">
        <f>HYPERLINK("https://yt3.ggpht.com/ytc/AKedOLTOUmNMQo8wVy25GZzzPwXMa4DPTOnjQsJwdw=s88-c-k-c0x00ffffff-no-rj")</f>
        <v>https://yt3.ggpht.com/ytc/AKedOLTOUmNMQo8wVy25GZzzPwXMa4DPTOnjQsJwdw=s88-c-k-c0x00ffffff-no-rj</v>
      </c>
      <c r="AL222" s="80">
        <v>815</v>
      </c>
      <c r="AM222" s="80">
        <v>0</v>
      </c>
      <c r="AN222" s="80">
        <v>15</v>
      </c>
      <c r="AO222" s="80" t="b">
        <v>0</v>
      </c>
      <c r="AP222" s="80">
        <v>13</v>
      </c>
      <c r="AQ222" s="80"/>
      <c r="AR222" s="80"/>
      <c r="AS222" s="80" t="s">
        <v>1376</v>
      </c>
      <c r="AT222" s="85" t="str">
        <f>HYPERLINK("https://www.youtube.com/channel/UC8Gt-9-7Z9vypF8m3WMaOgg")</f>
        <v>https://www.youtube.com/channel/UC8Gt-9-7Z9vypF8m3WMaOgg</v>
      </c>
      <c r="AU222" s="80" t="str">
        <f>REPLACE(INDEX(GroupVertices[Group],MATCH(Vertices[[#This Row],[Vertex]],GroupVertices[Vertex],0)),1,1,"")</f>
        <v>2</v>
      </c>
      <c r="AV222" s="49"/>
      <c r="AW222" s="50"/>
      <c r="AX222" s="49"/>
      <c r="AY222" s="50"/>
      <c r="AZ222" s="49"/>
      <c r="BA222" s="50"/>
      <c r="BB222" s="49"/>
      <c r="BC222" s="50"/>
      <c r="BD222" s="49"/>
      <c r="BE222" s="49"/>
      <c r="BF222" s="49"/>
      <c r="BG222" s="49"/>
      <c r="BH222" s="49"/>
      <c r="BI222" s="49"/>
      <c r="BJ222" s="49"/>
      <c r="BK222" s="111" t="s">
        <v>1239</v>
      </c>
      <c r="BL222" s="111" t="s">
        <v>1239</v>
      </c>
      <c r="BM222" s="111" t="s">
        <v>1239</v>
      </c>
      <c r="BN222" s="111" t="s">
        <v>1239</v>
      </c>
      <c r="BO222" s="2"/>
      <c r="BP222" s="3"/>
      <c r="BQ222" s="3"/>
      <c r="BR222" s="3"/>
      <c r="BS222" s="3"/>
    </row>
    <row r="223" spans="1:71" ht="15">
      <c r="A223" s="65" t="s">
        <v>549</v>
      </c>
      <c r="B223" s="66"/>
      <c r="C223" s="66"/>
      <c r="D223" s="67">
        <v>150</v>
      </c>
      <c r="E223" s="69"/>
      <c r="F223" s="103" t="str">
        <f>HYPERLINK("https://yt3.ggpht.com/ytc/AKedOLSrwbL58M-B9EIETioYUUNFV7ugNy8Rr5pb6wjU2g=s88-c-k-c0x00ffffff-no-rj")</f>
        <v>https://yt3.ggpht.com/ytc/AKedOLSrwbL58M-B9EIETioYUUNFV7ugNy8Rr5pb6wjU2g=s88-c-k-c0x00ffffff-no-rj</v>
      </c>
      <c r="G223" s="66"/>
      <c r="H223" s="70" t="s">
        <v>1290</v>
      </c>
      <c r="I223" s="71"/>
      <c r="J223" s="71" t="s">
        <v>159</v>
      </c>
      <c r="K223" s="70" t="s">
        <v>1290</v>
      </c>
      <c r="L223" s="74">
        <v>1</v>
      </c>
      <c r="M223" s="75">
        <v>2812.882080078125</v>
      </c>
      <c r="N223" s="75">
        <v>1663.4365234375</v>
      </c>
      <c r="O223" s="76"/>
      <c r="P223" s="77"/>
      <c r="Q223" s="77"/>
      <c r="R223" s="89"/>
      <c r="S223" s="49">
        <v>1</v>
      </c>
      <c r="T223" s="49">
        <v>1</v>
      </c>
      <c r="U223" s="50">
        <v>0</v>
      </c>
      <c r="V223" s="50">
        <v>0</v>
      </c>
      <c r="W223" s="50">
        <v>0</v>
      </c>
      <c r="X223" s="50">
        <v>0.004464</v>
      </c>
      <c r="Y223" s="50">
        <v>0</v>
      </c>
      <c r="Z223" s="50">
        <v>0</v>
      </c>
      <c r="AA223" s="72">
        <v>223</v>
      </c>
      <c r="AB223" s="72"/>
      <c r="AC223" s="73"/>
      <c r="AD223" s="80" t="s">
        <v>1290</v>
      </c>
      <c r="AE223" s="80"/>
      <c r="AF223" s="80"/>
      <c r="AG223" s="80"/>
      <c r="AH223" s="80"/>
      <c r="AI223" s="80"/>
      <c r="AJ223" s="87">
        <v>41675.326631944445</v>
      </c>
      <c r="AK223" s="85" t="str">
        <f>HYPERLINK("https://yt3.ggpht.com/ytc/AKedOLSrwbL58M-B9EIETioYUUNFV7ugNy8Rr5pb6wjU2g=s88-c-k-c0x00ffffff-no-rj")</f>
        <v>https://yt3.ggpht.com/ytc/AKedOLSrwbL58M-B9EIETioYUUNFV7ugNy8Rr5pb6wjU2g=s88-c-k-c0x00ffffff-no-rj</v>
      </c>
      <c r="AL223" s="80">
        <v>119</v>
      </c>
      <c r="AM223" s="80">
        <v>0</v>
      </c>
      <c r="AN223" s="80">
        <v>0</v>
      </c>
      <c r="AO223" s="80" t="b">
        <v>0</v>
      </c>
      <c r="AP223" s="80">
        <v>2</v>
      </c>
      <c r="AQ223" s="80"/>
      <c r="AR223" s="80"/>
      <c r="AS223" s="80" t="s">
        <v>1376</v>
      </c>
      <c r="AT223" s="85" t="str">
        <f>HYPERLINK("https://www.youtube.com/channel/UCpSb0VfB8knPbOeEdHGJdnQ")</f>
        <v>https://www.youtube.com/channel/UCpSb0VfB8knPbOeEdHGJdnQ</v>
      </c>
      <c r="AU223" s="80" t="str">
        <f>REPLACE(INDEX(GroupVertices[Group],MATCH(Vertices[[#This Row],[Vertex]],GroupVertices[Vertex],0)),1,1,"")</f>
        <v>2</v>
      </c>
      <c r="AV223" s="49"/>
      <c r="AW223" s="50"/>
      <c r="AX223" s="49"/>
      <c r="AY223" s="50"/>
      <c r="AZ223" s="49"/>
      <c r="BA223" s="50"/>
      <c r="BB223" s="49"/>
      <c r="BC223" s="50"/>
      <c r="BD223" s="49"/>
      <c r="BE223" s="49"/>
      <c r="BF223" s="49"/>
      <c r="BG223" s="49"/>
      <c r="BH223" s="49"/>
      <c r="BI223" s="49"/>
      <c r="BJ223" s="49"/>
      <c r="BK223" s="111" t="s">
        <v>1239</v>
      </c>
      <c r="BL223" s="111" t="s">
        <v>1239</v>
      </c>
      <c r="BM223" s="111" t="s">
        <v>1239</v>
      </c>
      <c r="BN223" s="111" t="s">
        <v>1239</v>
      </c>
      <c r="BO223" s="2"/>
      <c r="BP223" s="3"/>
      <c r="BQ223" s="3"/>
      <c r="BR223" s="3"/>
      <c r="BS223" s="3"/>
    </row>
    <row r="224" spans="1:71" ht="15">
      <c r="A224" s="65" t="s">
        <v>554</v>
      </c>
      <c r="B224" s="66"/>
      <c r="C224" s="66"/>
      <c r="D224" s="67">
        <v>150</v>
      </c>
      <c r="E224" s="69"/>
      <c r="F224" s="103" t="str">
        <f>HYPERLINK("https://yt3.ggpht.com/ytc/AKedOLSydF4pzCV5EdE7hlxapL46NEywmlF8jmPnxgCT-A=s88-c-k-c0x00ffffff-no-rj")</f>
        <v>https://yt3.ggpht.com/ytc/AKedOLSydF4pzCV5EdE7hlxapL46NEywmlF8jmPnxgCT-A=s88-c-k-c0x00ffffff-no-rj</v>
      </c>
      <c r="G224" s="66"/>
      <c r="H224" s="70" t="s">
        <v>1291</v>
      </c>
      <c r="I224" s="71"/>
      <c r="J224" s="71" t="s">
        <v>159</v>
      </c>
      <c r="K224" s="70" t="s">
        <v>1291</v>
      </c>
      <c r="L224" s="74">
        <v>1</v>
      </c>
      <c r="M224" s="75">
        <v>1609.8885498046875</v>
      </c>
      <c r="N224" s="75">
        <v>1663.4365234375</v>
      </c>
      <c r="O224" s="76"/>
      <c r="P224" s="77"/>
      <c r="Q224" s="77"/>
      <c r="R224" s="89"/>
      <c r="S224" s="49">
        <v>1</v>
      </c>
      <c r="T224" s="49">
        <v>1</v>
      </c>
      <c r="U224" s="50">
        <v>0</v>
      </c>
      <c r="V224" s="50">
        <v>0</v>
      </c>
      <c r="W224" s="50">
        <v>0</v>
      </c>
      <c r="X224" s="50">
        <v>0.004464</v>
      </c>
      <c r="Y224" s="50">
        <v>0</v>
      </c>
      <c r="Z224" s="50">
        <v>0</v>
      </c>
      <c r="AA224" s="72">
        <v>224</v>
      </c>
      <c r="AB224" s="72"/>
      <c r="AC224" s="73"/>
      <c r="AD224" s="80" t="s">
        <v>1291</v>
      </c>
      <c r="AE224" s="80"/>
      <c r="AF224" s="80"/>
      <c r="AG224" s="80"/>
      <c r="AH224" s="80"/>
      <c r="AI224" s="80"/>
      <c r="AJ224" s="87">
        <v>38895.71375</v>
      </c>
      <c r="AK224" s="85" t="str">
        <f>HYPERLINK("https://yt3.ggpht.com/ytc/AKedOLSydF4pzCV5EdE7hlxapL46NEywmlF8jmPnxgCT-A=s88-c-k-c0x00ffffff-no-rj")</f>
        <v>https://yt3.ggpht.com/ytc/AKedOLSydF4pzCV5EdE7hlxapL46NEywmlF8jmPnxgCT-A=s88-c-k-c0x00ffffff-no-rj</v>
      </c>
      <c r="AL224" s="80">
        <v>109950</v>
      </c>
      <c r="AM224" s="80">
        <v>0</v>
      </c>
      <c r="AN224" s="80">
        <v>51</v>
      </c>
      <c r="AO224" s="80" t="b">
        <v>0</v>
      </c>
      <c r="AP224" s="80">
        <v>165</v>
      </c>
      <c r="AQ224" s="80"/>
      <c r="AR224" s="80"/>
      <c r="AS224" s="80" t="s">
        <v>1376</v>
      </c>
      <c r="AT224" s="85" t="str">
        <f>HYPERLINK("https://www.youtube.com/channel/UC2T_oimRLkjFPyGYeAz6qPw")</f>
        <v>https://www.youtube.com/channel/UC2T_oimRLkjFPyGYeAz6qPw</v>
      </c>
      <c r="AU224" s="80" t="str">
        <f>REPLACE(INDEX(GroupVertices[Group],MATCH(Vertices[[#This Row],[Vertex]],GroupVertices[Vertex],0)),1,1,"")</f>
        <v>2</v>
      </c>
      <c r="AV224" s="49"/>
      <c r="AW224" s="50"/>
      <c r="AX224" s="49"/>
      <c r="AY224" s="50"/>
      <c r="AZ224" s="49"/>
      <c r="BA224" s="50"/>
      <c r="BB224" s="49"/>
      <c r="BC224" s="50"/>
      <c r="BD224" s="49"/>
      <c r="BE224" s="49"/>
      <c r="BF224" s="49"/>
      <c r="BG224" s="49"/>
      <c r="BH224" s="49"/>
      <c r="BI224" s="49"/>
      <c r="BJ224" s="49"/>
      <c r="BK224" s="111" t="s">
        <v>1239</v>
      </c>
      <c r="BL224" s="111" t="s">
        <v>1239</v>
      </c>
      <c r="BM224" s="111" t="s">
        <v>1239</v>
      </c>
      <c r="BN224" s="111" t="s">
        <v>1239</v>
      </c>
      <c r="BO224" s="2"/>
      <c r="BP224" s="3"/>
      <c r="BQ224" s="3"/>
      <c r="BR224" s="3"/>
      <c r="BS224" s="3"/>
    </row>
    <row r="225" spans="1:71" ht="15">
      <c r="A225" s="65" t="s">
        <v>556</v>
      </c>
      <c r="B225" s="66"/>
      <c r="C225" s="66"/>
      <c r="D225" s="67">
        <v>150</v>
      </c>
      <c r="E225" s="69"/>
      <c r="F225" s="103" t="str">
        <f>HYPERLINK("https://yt3.ggpht.com/hTxAq_LFnangZ9ow5xRYsgUqkNVnM3P5ju9jfofCZrV3bSOdRQ4BHMm0qD89nZcIz6FlJwHm=s88-c-k-c0x00ffffff-no-rj")</f>
        <v>https://yt3.ggpht.com/hTxAq_LFnangZ9ow5xRYsgUqkNVnM3P5ju9jfofCZrV3bSOdRQ4BHMm0qD89nZcIz6FlJwHm=s88-c-k-c0x00ffffff-no-rj</v>
      </c>
      <c r="G225" s="66"/>
      <c r="H225" s="70" t="s">
        <v>1292</v>
      </c>
      <c r="I225" s="71"/>
      <c r="J225" s="71" t="s">
        <v>159</v>
      </c>
      <c r="K225" s="70" t="s">
        <v>1292</v>
      </c>
      <c r="L225" s="74">
        <v>1</v>
      </c>
      <c r="M225" s="75">
        <v>406.8948974609375</v>
      </c>
      <c r="N225" s="75">
        <v>1663.4365234375</v>
      </c>
      <c r="O225" s="76"/>
      <c r="P225" s="77"/>
      <c r="Q225" s="77"/>
      <c r="R225" s="89"/>
      <c r="S225" s="49">
        <v>1</v>
      </c>
      <c r="T225" s="49">
        <v>1</v>
      </c>
      <c r="U225" s="50">
        <v>0</v>
      </c>
      <c r="V225" s="50">
        <v>0</v>
      </c>
      <c r="W225" s="50">
        <v>0</v>
      </c>
      <c r="X225" s="50">
        <v>0.004464</v>
      </c>
      <c r="Y225" s="50">
        <v>0</v>
      </c>
      <c r="Z225" s="50">
        <v>0</v>
      </c>
      <c r="AA225" s="72">
        <v>225</v>
      </c>
      <c r="AB225" s="72"/>
      <c r="AC225" s="73"/>
      <c r="AD225" s="80" t="s">
        <v>1292</v>
      </c>
      <c r="AE225" s="80" t="s">
        <v>1338</v>
      </c>
      <c r="AF225" s="80"/>
      <c r="AG225" s="80"/>
      <c r="AH225" s="80"/>
      <c r="AI225" s="80" t="s">
        <v>1375</v>
      </c>
      <c r="AJ225" s="87">
        <v>41484.73380787037</v>
      </c>
      <c r="AK225" s="85" t="str">
        <f>HYPERLINK("https://yt3.ggpht.com/hTxAq_LFnangZ9ow5xRYsgUqkNVnM3P5ju9jfofCZrV3bSOdRQ4BHMm0qD89nZcIz6FlJwHm=s88-c-k-c0x00ffffff-no-rj")</f>
        <v>https://yt3.ggpht.com/hTxAq_LFnangZ9ow5xRYsgUqkNVnM3P5ju9jfofCZrV3bSOdRQ4BHMm0qD89nZcIz6FlJwHm=s88-c-k-c0x00ffffff-no-rj</v>
      </c>
      <c r="AL225" s="80">
        <v>282948</v>
      </c>
      <c r="AM225" s="80">
        <v>0</v>
      </c>
      <c r="AN225" s="80">
        <v>7780</v>
      </c>
      <c r="AO225" s="80" t="b">
        <v>0</v>
      </c>
      <c r="AP225" s="80">
        <v>448</v>
      </c>
      <c r="AQ225" s="80"/>
      <c r="AR225" s="80"/>
      <c r="AS225" s="80" t="s">
        <v>1376</v>
      </c>
      <c r="AT225" s="85" t="str">
        <f>HYPERLINK("https://www.youtube.com/channel/UCY8xUWeaWVE4JY05JUupzYQ")</f>
        <v>https://www.youtube.com/channel/UCY8xUWeaWVE4JY05JUupzYQ</v>
      </c>
      <c r="AU225" s="80" t="str">
        <f>REPLACE(INDEX(GroupVertices[Group],MATCH(Vertices[[#This Row],[Vertex]],GroupVertices[Vertex],0)),1,1,"")</f>
        <v>2</v>
      </c>
      <c r="AV225" s="49"/>
      <c r="AW225" s="50"/>
      <c r="AX225" s="49"/>
      <c r="AY225" s="50"/>
      <c r="AZ225" s="49"/>
      <c r="BA225" s="50"/>
      <c r="BB225" s="49"/>
      <c r="BC225" s="50"/>
      <c r="BD225" s="49"/>
      <c r="BE225" s="49"/>
      <c r="BF225" s="49"/>
      <c r="BG225" s="49"/>
      <c r="BH225" s="49"/>
      <c r="BI225" s="49"/>
      <c r="BJ225" s="49"/>
      <c r="BK225" s="111" t="s">
        <v>1239</v>
      </c>
      <c r="BL225" s="111" t="s">
        <v>1239</v>
      </c>
      <c r="BM225" s="111" t="s">
        <v>1239</v>
      </c>
      <c r="BN225" s="111" t="s">
        <v>1239</v>
      </c>
      <c r="BO225" s="2"/>
      <c r="BP225" s="3"/>
      <c r="BQ225" s="3"/>
      <c r="BR225" s="3"/>
      <c r="BS225" s="3"/>
    </row>
    <row r="226" spans="1:71" ht="15">
      <c r="A226" s="90" t="s">
        <v>557</v>
      </c>
      <c r="B226" s="91"/>
      <c r="C226" s="91"/>
      <c r="D226" s="92">
        <v>150</v>
      </c>
      <c r="E226" s="93"/>
      <c r="F226" s="104" t="str">
        <f>HYPERLINK("https://yt3.ggpht.com/ytc/AKedOLQkXVsZnZgteD_AqnSfPlxqfh6tg2wH6Hlkodp0=s88-c-k-c0x00ffffff-no-rj")</f>
        <v>https://yt3.ggpht.com/ytc/AKedOLQkXVsZnZgteD_AqnSfPlxqfh6tg2wH6Hlkodp0=s88-c-k-c0x00ffffff-no-rj</v>
      </c>
      <c r="G226" s="91"/>
      <c r="H226" s="94" t="s">
        <v>1293</v>
      </c>
      <c r="I226" s="95"/>
      <c r="J226" s="95" t="s">
        <v>159</v>
      </c>
      <c r="K226" s="94" t="s">
        <v>1293</v>
      </c>
      <c r="L226" s="96">
        <v>1</v>
      </c>
      <c r="M226" s="97">
        <v>1008.3917236328125</v>
      </c>
      <c r="N226" s="97">
        <v>1663.4365234375</v>
      </c>
      <c r="O226" s="98"/>
      <c r="P226" s="99"/>
      <c r="Q226" s="99"/>
      <c r="R226" s="100"/>
      <c r="S226" s="49">
        <v>1</v>
      </c>
      <c r="T226" s="49">
        <v>1</v>
      </c>
      <c r="U226" s="50">
        <v>0</v>
      </c>
      <c r="V226" s="50">
        <v>0</v>
      </c>
      <c r="W226" s="50">
        <v>0</v>
      </c>
      <c r="X226" s="50">
        <v>0.004464</v>
      </c>
      <c r="Y226" s="50">
        <v>0</v>
      </c>
      <c r="Z226" s="50">
        <v>0</v>
      </c>
      <c r="AA226" s="101">
        <v>226</v>
      </c>
      <c r="AB226" s="101"/>
      <c r="AC226" s="102"/>
      <c r="AD226" s="80" t="s">
        <v>1293</v>
      </c>
      <c r="AE226" s="80" t="s">
        <v>1339</v>
      </c>
      <c r="AF226" s="80"/>
      <c r="AG226" s="80"/>
      <c r="AH226" s="80"/>
      <c r="AI226" s="80"/>
      <c r="AJ226" s="87">
        <v>41494.37630787037</v>
      </c>
      <c r="AK226" s="85" t="str">
        <f>HYPERLINK("https://yt3.ggpht.com/ytc/AKedOLQkXVsZnZgteD_AqnSfPlxqfh6tg2wH6Hlkodp0=s88-c-k-c0x00ffffff-no-rj")</f>
        <v>https://yt3.ggpht.com/ytc/AKedOLQkXVsZnZgteD_AqnSfPlxqfh6tg2wH6Hlkodp0=s88-c-k-c0x00ffffff-no-rj</v>
      </c>
      <c r="AL226" s="80">
        <v>35024</v>
      </c>
      <c r="AM226" s="80">
        <v>0</v>
      </c>
      <c r="AN226" s="80">
        <v>420</v>
      </c>
      <c r="AO226" s="80" t="b">
        <v>0</v>
      </c>
      <c r="AP226" s="80">
        <v>219</v>
      </c>
      <c r="AQ226" s="80"/>
      <c r="AR226" s="80"/>
      <c r="AS226" s="80" t="s">
        <v>1376</v>
      </c>
      <c r="AT226" s="85" t="str">
        <f>HYPERLINK("https://www.youtube.com/channel/UC3WCzD4z9DiTLTempQrMUeg")</f>
        <v>https://www.youtube.com/channel/UC3WCzD4z9DiTLTempQrMUeg</v>
      </c>
      <c r="AU226" s="80" t="str">
        <f>REPLACE(INDEX(GroupVertices[Group],MATCH(Vertices[[#This Row],[Vertex]],GroupVertices[Vertex],0)),1,1,"")</f>
        <v>2</v>
      </c>
      <c r="AV226" s="49"/>
      <c r="AW226" s="50"/>
      <c r="AX226" s="49"/>
      <c r="AY226" s="50"/>
      <c r="AZ226" s="49"/>
      <c r="BA226" s="50"/>
      <c r="BB226" s="49"/>
      <c r="BC226" s="50"/>
      <c r="BD226" s="49"/>
      <c r="BE226" s="49"/>
      <c r="BF226" s="49"/>
      <c r="BG226" s="49"/>
      <c r="BH226" s="49"/>
      <c r="BI226" s="49"/>
      <c r="BJ226" s="49"/>
      <c r="BK226" s="111" t="s">
        <v>1239</v>
      </c>
      <c r="BL226" s="111" t="s">
        <v>1239</v>
      </c>
      <c r="BM226" s="111" t="s">
        <v>1239</v>
      </c>
      <c r="BN226" s="111" t="s">
        <v>1239</v>
      </c>
      <c r="BO226" s="2"/>
      <c r="BP226" s="3"/>
      <c r="BQ226" s="3"/>
      <c r="BR226" s="3"/>
      <c r="BS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6"/>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6"/>
    <dataValidation allowBlank="1" showInputMessage="1" promptTitle="Vertex Tooltip" prompt="Enter optional text that will pop up when the mouse is hovered over the vertex." errorTitle="Invalid Vertex Image Key" sqref="K3:K2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6"/>
    <dataValidation allowBlank="1" showInputMessage="1" promptTitle="Vertex Label Fill Color" prompt="To select an optional fill color for the Label shape, right-click and select Select Color on the right-click menu." sqref="I3:I226"/>
    <dataValidation allowBlank="1" showInputMessage="1" promptTitle="Vertex Image File" prompt="Enter the path to an image file.  Hover over the column header for examples." errorTitle="Invalid Vertex Image Key" sqref="F3:F226"/>
    <dataValidation allowBlank="1" showInputMessage="1" promptTitle="Vertex Color" prompt="To select an optional vertex color, right-click and select Select Color on the right-click menu." sqref="B3:B226"/>
    <dataValidation allowBlank="1" showInputMessage="1" promptTitle="Vertex Opacity" prompt="Enter an optional vertex opacity between 0 (transparent) and 100 (opaque)." errorTitle="Invalid Vertex Opacity" error="The optional vertex opacity must be a whole number between 0 and 10." sqref="E3:E226"/>
    <dataValidation type="list" allowBlank="1" showInputMessage="1" showErrorMessage="1" promptTitle="Vertex Shape" prompt="Select an optional vertex shape." errorTitle="Invalid Vertex Shape" error="You have entered an invalid vertex shape.  Try selecting from the drop-down list instead." sqref="C3:C2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6">
      <formula1>ValidVertexLabelPositions</formula1>
    </dataValidation>
    <dataValidation allowBlank="1" showInputMessage="1" showErrorMessage="1" promptTitle="Vertex Name" prompt="Enter the name of the vertex." sqref="A3:A2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2072</v>
      </c>
      <c r="Z2" s="54" t="s">
        <v>2073</v>
      </c>
      <c r="AA2" s="54" t="s">
        <v>2074</v>
      </c>
      <c r="AB2" s="54" t="s">
        <v>2075</v>
      </c>
      <c r="AC2" s="54" t="s">
        <v>2076</v>
      </c>
      <c r="AD2" s="54" t="s">
        <v>2077</v>
      </c>
      <c r="AE2" s="54" t="s">
        <v>2078</v>
      </c>
      <c r="AF2" s="54" t="s">
        <v>2079</v>
      </c>
      <c r="AG2" s="54" t="s">
        <v>2082</v>
      </c>
      <c r="AH2" s="13" t="s">
        <v>2161</v>
      </c>
      <c r="AI2" s="13" t="s">
        <v>2188</v>
      </c>
      <c r="AJ2" s="13" t="s">
        <v>2205</v>
      </c>
      <c r="AK2" s="13" t="s">
        <v>2217</v>
      </c>
      <c r="AL2" s="13" t="s">
        <v>2318</v>
      </c>
    </row>
    <row r="3" spans="1:38" ht="15">
      <c r="A3" s="65" t="s">
        <v>1378</v>
      </c>
      <c r="B3" s="66" t="s">
        <v>1403</v>
      </c>
      <c r="C3" s="66" t="s">
        <v>56</v>
      </c>
      <c r="D3" s="106"/>
      <c r="E3" s="14"/>
      <c r="F3" s="15" t="s">
        <v>2951</v>
      </c>
      <c r="G3" s="64"/>
      <c r="H3" s="64"/>
      <c r="I3" s="107">
        <v>3</v>
      </c>
      <c r="J3" s="51"/>
      <c r="K3" s="49">
        <v>62</v>
      </c>
      <c r="L3" s="49">
        <v>84</v>
      </c>
      <c r="M3" s="49">
        <v>47</v>
      </c>
      <c r="N3" s="49">
        <v>131</v>
      </c>
      <c r="O3" s="49">
        <v>33</v>
      </c>
      <c r="P3" s="50">
        <v>0.3225806451612903</v>
      </c>
      <c r="Q3" s="50">
        <v>0.4878048780487805</v>
      </c>
      <c r="R3" s="49">
        <v>1</v>
      </c>
      <c r="S3" s="49">
        <v>0</v>
      </c>
      <c r="T3" s="49">
        <v>62</v>
      </c>
      <c r="U3" s="49">
        <v>131</v>
      </c>
      <c r="V3" s="49">
        <v>4</v>
      </c>
      <c r="W3" s="50">
        <v>1.996878</v>
      </c>
      <c r="X3" s="50">
        <v>0.02168164992067689</v>
      </c>
      <c r="Y3" s="49">
        <v>210</v>
      </c>
      <c r="Z3" s="50">
        <v>3.821656050955414</v>
      </c>
      <c r="AA3" s="49">
        <v>55</v>
      </c>
      <c r="AB3" s="50">
        <v>1.0009099181073704</v>
      </c>
      <c r="AC3" s="49">
        <v>0</v>
      </c>
      <c r="AD3" s="50">
        <v>0</v>
      </c>
      <c r="AE3" s="49">
        <v>5230</v>
      </c>
      <c r="AF3" s="50">
        <v>95.17743403093722</v>
      </c>
      <c r="AG3" s="49">
        <v>5495</v>
      </c>
      <c r="AH3" s="80" t="s">
        <v>2162</v>
      </c>
      <c r="AI3" s="80" t="s">
        <v>2189</v>
      </c>
      <c r="AJ3" s="80"/>
      <c r="AK3" s="83" t="s">
        <v>2218</v>
      </c>
      <c r="AL3" s="83" t="s">
        <v>2319</v>
      </c>
    </row>
    <row r="4" spans="1:38" ht="15">
      <c r="A4" s="65" t="s">
        <v>1379</v>
      </c>
      <c r="B4" s="66" t="s">
        <v>1404</v>
      </c>
      <c r="C4" s="66" t="s">
        <v>56</v>
      </c>
      <c r="D4" s="106"/>
      <c r="E4" s="14"/>
      <c r="F4" s="15" t="s">
        <v>2952</v>
      </c>
      <c r="G4" s="64"/>
      <c r="H4" s="64"/>
      <c r="I4" s="107">
        <v>4</v>
      </c>
      <c r="J4" s="78"/>
      <c r="K4" s="49">
        <v>22</v>
      </c>
      <c r="L4" s="49">
        <v>18</v>
      </c>
      <c r="M4" s="49">
        <v>14</v>
      </c>
      <c r="N4" s="49">
        <v>32</v>
      </c>
      <c r="O4" s="49">
        <v>32</v>
      </c>
      <c r="P4" s="50" t="s">
        <v>1418</v>
      </c>
      <c r="Q4" s="50" t="s">
        <v>1418</v>
      </c>
      <c r="R4" s="49">
        <v>22</v>
      </c>
      <c r="S4" s="49">
        <v>22</v>
      </c>
      <c r="T4" s="49">
        <v>1</v>
      </c>
      <c r="U4" s="49">
        <v>6</v>
      </c>
      <c r="V4" s="49">
        <v>0</v>
      </c>
      <c r="W4" s="50">
        <v>0</v>
      </c>
      <c r="X4" s="50">
        <v>0</v>
      </c>
      <c r="Y4" s="49">
        <v>0</v>
      </c>
      <c r="Z4" s="50">
        <v>0</v>
      </c>
      <c r="AA4" s="49">
        <v>0</v>
      </c>
      <c r="AB4" s="50">
        <v>0</v>
      </c>
      <c r="AC4" s="49">
        <v>0</v>
      </c>
      <c r="AD4" s="50">
        <v>0</v>
      </c>
      <c r="AE4" s="49">
        <v>21</v>
      </c>
      <c r="AF4" s="50">
        <v>100</v>
      </c>
      <c r="AG4" s="49">
        <v>21</v>
      </c>
      <c r="AH4" s="80"/>
      <c r="AI4" s="80"/>
      <c r="AJ4" s="80"/>
      <c r="AK4" s="83" t="s">
        <v>1455</v>
      </c>
      <c r="AL4" s="83" t="s">
        <v>1239</v>
      </c>
    </row>
    <row r="5" spans="1:38" ht="15">
      <c r="A5" s="65" t="s">
        <v>1380</v>
      </c>
      <c r="B5" s="66" t="s">
        <v>1405</v>
      </c>
      <c r="C5" s="66" t="s">
        <v>56</v>
      </c>
      <c r="D5" s="106"/>
      <c r="E5" s="14"/>
      <c r="F5" s="15" t="s">
        <v>2953</v>
      </c>
      <c r="G5" s="64"/>
      <c r="H5" s="64"/>
      <c r="I5" s="107">
        <v>5</v>
      </c>
      <c r="J5" s="78"/>
      <c r="K5" s="49">
        <v>17</v>
      </c>
      <c r="L5" s="49">
        <v>17</v>
      </c>
      <c r="M5" s="49">
        <v>3</v>
      </c>
      <c r="N5" s="49">
        <v>20</v>
      </c>
      <c r="O5" s="49">
        <v>4</v>
      </c>
      <c r="P5" s="50">
        <v>0</v>
      </c>
      <c r="Q5" s="50">
        <v>0</v>
      </c>
      <c r="R5" s="49">
        <v>1</v>
      </c>
      <c r="S5" s="49">
        <v>0</v>
      </c>
      <c r="T5" s="49">
        <v>17</v>
      </c>
      <c r="U5" s="49">
        <v>20</v>
      </c>
      <c r="V5" s="49">
        <v>4</v>
      </c>
      <c r="W5" s="50">
        <v>2.048443</v>
      </c>
      <c r="X5" s="50">
        <v>0.058823529411764705</v>
      </c>
      <c r="Y5" s="49">
        <v>26</v>
      </c>
      <c r="Z5" s="50">
        <v>3.903903903903904</v>
      </c>
      <c r="AA5" s="49">
        <v>8</v>
      </c>
      <c r="AB5" s="50">
        <v>1.2012012012012012</v>
      </c>
      <c r="AC5" s="49">
        <v>0</v>
      </c>
      <c r="AD5" s="50">
        <v>0</v>
      </c>
      <c r="AE5" s="49">
        <v>632</v>
      </c>
      <c r="AF5" s="50">
        <v>94.89489489489489</v>
      </c>
      <c r="AG5" s="49">
        <v>666</v>
      </c>
      <c r="AH5" s="80" t="s">
        <v>2163</v>
      </c>
      <c r="AI5" s="80" t="s">
        <v>1221</v>
      </c>
      <c r="AJ5" s="80"/>
      <c r="AK5" s="83" t="s">
        <v>2219</v>
      </c>
      <c r="AL5" s="83" t="s">
        <v>2320</v>
      </c>
    </row>
    <row r="6" spans="1:38" ht="15">
      <c r="A6" s="65" t="s">
        <v>1381</v>
      </c>
      <c r="B6" s="66" t="s">
        <v>1406</v>
      </c>
      <c r="C6" s="66" t="s">
        <v>56</v>
      </c>
      <c r="D6" s="106"/>
      <c r="E6" s="14"/>
      <c r="F6" s="15" t="s">
        <v>2954</v>
      </c>
      <c r="G6" s="64"/>
      <c r="H6" s="64"/>
      <c r="I6" s="107">
        <v>6</v>
      </c>
      <c r="J6" s="78"/>
      <c r="K6" s="49">
        <v>17</v>
      </c>
      <c r="L6" s="49">
        <v>21</v>
      </c>
      <c r="M6" s="49">
        <v>14</v>
      </c>
      <c r="N6" s="49">
        <v>35</v>
      </c>
      <c r="O6" s="49">
        <v>12</v>
      </c>
      <c r="P6" s="50">
        <v>0.23529411764705882</v>
      </c>
      <c r="Q6" s="50">
        <v>0.38095238095238093</v>
      </c>
      <c r="R6" s="49">
        <v>1</v>
      </c>
      <c r="S6" s="49">
        <v>0</v>
      </c>
      <c r="T6" s="49">
        <v>17</v>
      </c>
      <c r="U6" s="49">
        <v>35</v>
      </c>
      <c r="V6" s="49">
        <v>5</v>
      </c>
      <c r="W6" s="50">
        <v>2.657439</v>
      </c>
      <c r="X6" s="50">
        <v>0.07720588235294118</v>
      </c>
      <c r="Y6" s="49">
        <v>48</v>
      </c>
      <c r="Z6" s="50">
        <v>7.779578606158833</v>
      </c>
      <c r="AA6" s="49">
        <v>6</v>
      </c>
      <c r="AB6" s="50">
        <v>0.9724473257698542</v>
      </c>
      <c r="AC6" s="49">
        <v>0</v>
      </c>
      <c r="AD6" s="50">
        <v>0</v>
      </c>
      <c r="AE6" s="49">
        <v>563</v>
      </c>
      <c r="AF6" s="50">
        <v>91.24797406807131</v>
      </c>
      <c r="AG6" s="49">
        <v>617</v>
      </c>
      <c r="AH6" s="80" t="s">
        <v>2164</v>
      </c>
      <c r="AI6" s="80" t="s">
        <v>2190</v>
      </c>
      <c r="AJ6" s="80"/>
      <c r="AK6" s="83" t="s">
        <v>2220</v>
      </c>
      <c r="AL6" s="83" t="s">
        <v>2321</v>
      </c>
    </row>
    <row r="7" spans="1:38" ht="15">
      <c r="A7" s="65" t="s">
        <v>1382</v>
      </c>
      <c r="B7" s="66" t="s">
        <v>1407</v>
      </c>
      <c r="C7" s="66" t="s">
        <v>56</v>
      </c>
      <c r="D7" s="106"/>
      <c r="E7" s="14"/>
      <c r="F7" s="15" t="s">
        <v>2955</v>
      </c>
      <c r="G7" s="64"/>
      <c r="H7" s="64"/>
      <c r="I7" s="107">
        <v>7</v>
      </c>
      <c r="J7" s="78"/>
      <c r="K7" s="49">
        <v>15</v>
      </c>
      <c r="L7" s="49">
        <v>17</v>
      </c>
      <c r="M7" s="49">
        <v>2</v>
      </c>
      <c r="N7" s="49">
        <v>19</v>
      </c>
      <c r="O7" s="49">
        <v>4</v>
      </c>
      <c r="P7" s="50">
        <v>0.07142857142857142</v>
      </c>
      <c r="Q7" s="50">
        <v>0.13333333333333333</v>
      </c>
      <c r="R7" s="49">
        <v>1</v>
      </c>
      <c r="S7" s="49">
        <v>0</v>
      </c>
      <c r="T7" s="49">
        <v>15</v>
      </c>
      <c r="U7" s="49">
        <v>19</v>
      </c>
      <c r="V7" s="49">
        <v>6</v>
      </c>
      <c r="W7" s="50">
        <v>2.933333</v>
      </c>
      <c r="X7" s="50">
        <v>0.07142857142857142</v>
      </c>
      <c r="Y7" s="49">
        <v>1</v>
      </c>
      <c r="Z7" s="50">
        <v>0.22026431718061673</v>
      </c>
      <c r="AA7" s="49">
        <v>0</v>
      </c>
      <c r="AB7" s="50">
        <v>0</v>
      </c>
      <c r="AC7" s="49">
        <v>0</v>
      </c>
      <c r="AD7" s="50">
        <v>0</v>
      </c>
      <c r="AE7" s="49">
        <v>453</v>
      </c>
      <c r="AF7" s="50">
        <v>99.77973568281938</v>
      </c>
      <c r="AG7" s="49">
        <v>454</v>
      </c>
      <c r="AH7" s="80" t="s">
        <v>2165</v>
      </c>
      <c r="AI7" s="80" t="s">
        <v>2191</v>
      </c>
      <c r="AJ7" s="80"/>
      <c r="AK7" s="83" t="s">
        <v>2221</v>
      </c>
      <c r="AL7" s="83" t="s">
        <v>2322</v>
      </c>
    </row>
    <row r="8" spans="1:38" ht="15">
      <c r="A8" s="65" t="s">
        <v>1383</v>
      </c>
      <c r="B8" s="66" t="s">
        <v>1408</v>
      </c>
      <c r="C8" s="66" t="s">
        <v>56</v>
      </c>
      <c r="D8" s="106"/>
      <c r="E8" s="14"/>
      <c r="F8" s="15" t="s">
        <v>2956</v>
      </c>
      <c r="G8" s="64"/>
      <c r="H8" s="64"/>
      <c r="I8" s="107">
        <v>8</v>
      </c>
      <c r="J8" s="78"/>
      <c r="K8" s="49">
        <v>10</v>
      </c>
      <c r="L8" s="49">
        <v>10</v>
      </c>
      <c r="M8" s="49">
        <v>11</v>
      </c>
      <c r="N8" s="49">
        <v>21</v>
      </c>
      <c r="O8" s="49">
        <v>11</v>
      </c>
      <c r="P8" s="50">
        <v>0.1111111111111111</v>
      </c>
      <c r="Q8" s="50">
        <v>0.2</v>
      </c>
      <c r="R8" s="49">
        <v>1</v>
      </c>
      <c r="S8" s="49">
        <v>0</v>
      </c>
      <c r="T8" s="49">
        <v>10</v>
      </c>
      <c r="U8" s="49">
        <v>21</v>
      </c>
      <c r="V8" s="49">
        <v>3</v>
      </c>
      <c r="W8" s="50">
        <v>1.76</v>
      </c>
      <c r="X8" s="50">
        <v>0.1111111111111111</v>
      </c>
      <c r="Y8" s="49">
        <v>10</v>
      </c>
      <c r="Z8" s="50">
        <v>4.166666666666667</v>
      </c>
      <c r="AA8" s="49">
        <v>3</v>
      </c>
      <c r="AB8" s="50">
        <v>1.25</v>
      </c>
      <c r="AC8" s="49">
        <v>0</v>
      </c>
      <c r="AD8" s="50">
        <v>0</v>
      </c>
      <c r="AE8" s="49">
        <v>227</v>
      </c>
      <c r="AF8" s="50">
        <v>94.58333333333333</v>
      </c>
      <c r="AG8" s="49">
        <v>240</v>
      </c>
      <c r="AH8" s="80"/>
      <c r="AI8" s="80"/>
      <c r="AJ8" s="80"/>
      <c r="AK8" s="83" t="s">
        <v>2222</v>
      </c>
      <c r="AL8" s="83" t="s">
        <v>2323</v>
      </c>
    </row>
    <row r="9" spans="1:38" ht="15">
      <c r="A9" s="65" t="s">
        <v>1384</v>
      </c>
      <c r="B9" s="66" t="s">
        <v>1409</v>
      </c>
      <c r="C9" s="66" t="s">
        <v>56</v>
      </c>
      <c r="D9" s="106"/>
      <c r="E9" s="14"/>
      <c r="F9" s="15" t="s">
        <v>2957</v>
      </c>
      <c r="G9" s="64"/>
      <c r="H9" s="64"/>
      <c r="I9" s="107">
        <v>9</v>
      </c>
      <c r="J9" s="78"/>
      <c r="K9" s="49">
        <v>10</v>
      </c>
      <c r="L9" s="49">
        <v>10</v>
      </c>
      <c r="M9" s="49">
        <v>5</v>
      </c>
      <c r="N9" s="49">
        <v>15</v>
      </c>
      <c r="O9" s="49">
        <v>5</v>
      </c>
      <c r="P9" s="50">
        <v>0.1111111111111111</v>
      </c>
      <c r="Q9" s="50">
        <v>0.2</v>
      </c>
      <c r="R9" s="49">
        <v>1</v>
      </c>
      <c r="S9" s="49">
        <v>0</v>
      </c>
      <c r="T9" s="49">
        <v>10</v>
      </c>
      <c r="U9" s="49">
        <v>15</v>
      </c>
      <c r="V9" s="49">
        <v>3</v>
      </c>
      <c r="W9" s="50">
        <v>1.76</v>
      </c>
      <c r="X9" s="50">
        <v>0.1111111111111111</v>
      </c>
      <c r="Y9" s="49">
        <v>21</v>
      </c>
      <c r="Z9" s="50">
        <v>4.55531453362256</v>
      </c>
      <c r="AA9" s="49">
        <v>6</v>
      </c>
      <c r="AB9" s="50">
        <v>1.3015184381778742</v>
      </c>
      <c r="AC9" s="49">
        <v>0</v>
      </c>
      <c r="AD9" s="50">
        <v>0</v>
      </c>
      <c r="AE9" s="49">
        <v>434</v>
      </c>
      <c r="AF9" s="50">
        <v>94.14316702819957</v>
      </c>
      <c r="AG9" s="49">
        <v>461</v>
      </c>
      <c r="AH9" s="80"/>
      <c r="AI9" s="80"/>
      <c r="AJ9" s="80"/>
      <c r="AK9" s="83" t="s">
        <v>2223</v>
      </c>
      <c r="AL9" s="83" t="s">
        <v>2324</v>
      </c>
    </row>
    <row r="10" spans="1:38" ht="14.25" customHeight="1">
      <c r="A10" s="65" t="s">
        <v>1385</v>
      </c>
      <c r="B10" s="66" t="s">
        <v>1410</v>
      </c>
      <c r="C10" s="66" t="s">
        <v>56</v>
      </c>
      <c r="D10" s="106"/>
      <c r="E10" s="14"/>
      <c r="F10" s="15" t="s">
        <v>2958</v>
      </c>
      <c r="G10" s="64"/>
      <c r="H10" s="64"/>
      <c r="I10" s="107">
        <v>10</v>
      </c>
      <c r="J10" s="78"/>
      <c r="K10" s="49">
        <v>10</v>
      </c>
      <c r="L10" s="49">
        <v>16</v>
      </c>
      <c r="M10" s="49">
        <v>2</v>
      </c>
      <c r="N10" s="49">
        <v>18</v>
      </c>
      <c r="O10" s="49">
        <v>3</v>
      </c>
      <c r="P10" s="50">
        <v>0</v>
      </c>
      <c r="Q10" s="50">
        <v>0</v>
      </c>
      <c r="R10" s="49">
        <v>1</v>
      </c>
      <c r="S10" s="49">
        <v>0</v>
      </c>
      <c r="T10" s="49">
        <v>10</v>
      </c>
      <c r="U10" s="49">
        <v>18</v>
      </c>
      <c r="V10" s="49">
        <v>3</v>
      </c>
      <c r="W10" s="50">
        <v>1.62</v>
      </c>
      <c r="X10" s="50">
        <v>0.16666666666666666</v>
      </c>
      <c r="Y10" s="49">
        <v>4</v>
      </c>
      <c r="Z10" s="50">
        <v>1.0666666666666667</v>
      </c>
      <c r="AA10" s="49">
        <v>0</v>
      </c>
      <c r="AB10" s="50">
        <v>0</v>
      </c>
      <c r="AC10" s="49">
        <v>0</v>
      </c>
      <c r="AD10" s="50">
        <v>0</v>
      </c>
      <c r="AE10" s="49">
        <v>371</v>
      </c>
      <c r="AF10" s="50">
        <v>98.93333333333334</v>
      </c>
      <c r="AG10" s="49">
        <v>375</v>
      </c>
      <c r="AH10" s="80" t="s">
        <v>2151</v>
      </c>
      <c r="AI10" s="80" t="s">
        <v>1225</v>
      </c>
      <c r="AJ10" s="80"/>
      <c r="AK10" s="83" t="s">
        <v>2224</v>
      </c>
      <c r="AL10" s="83" t="s">
        <v>2325</v>
      </c>
    </row>
    <row r="11" spans="1:38" ht="15">
      <c r="A11" s="65" t="s">
        <v>1386</v>
      </c>
      <c r="B11" s="66" t="s">
        <v>1411</v>
      </c>
      <c r="C11" s="66" t="s">
        <v>56</v>
      </c>
      <c r="D11" s="106"/>
      <c r="E11" s="14"/>
      <c r="F11" s="15" t="s">
        <v>2959</v>
      </c>
      <c r="G11" s="64"/>
      <c r="H11" s="64"/>
      <c r="I11" s="107">
        <v>11</v>
      </c>
      <c r="J11" s="78"/>
      <c r="K11" s="49">
        <v>10</v>
      </c>
      <c r="L11" s="49">
        <v>11</v>
      </c>
      <c r="M11" s="49">
        <v>0</v>
      </c>
      <c r="N11" s="49">
        <v>11</v>
      </c>
      <c r="O11" s="49">
        <v>1</v>
      </c>
      <c r="P11" s="50">
        <v>0.1111111111111111</v>
      </c>
      <c r="Q11" s="50">
        <v>0.2</v>
      </c>
      <c r="R11" s="49">
        <v>1</v>
      </c>
      <c r="S11" s="49">
        <v>0</v>
      </c>
      <c r="T11" s="49">
        <v>10</v>
      </c>
      <c r="U11" s="49">
        <v>11</v>
      </c>
      <c r="V11" s="49">
        <v>3</v>
      </c>
      <c r="W11" s="50">
        <v>1.76</v>
      </c>
      <c r="X11" s="50">
        <v>0.1111111111111111</v>
      </c>
      <c r="Y11" s="49">
        <v>10</v>
      </c>
      <c r="Z11" s="50">
        <v>3.2467532467532467</v>
      </c>
      <c r="AA11" s="49">
        <v>3</v>
      </c>
      <c r="AB11" s="50">
        <v>0.974025974025974</v>
      </c>
      <c r="AC11" s="49">
        <v>0</v>
      </c>
      <c r="AD11" s="50">
        <v>0</v>
      </c>
      <c r="AE11" s="49">
        <v>295</v>
      </c>
      <c r="AF11" s="50">
        <v>95.77922077922078</v>
      </c>
      <c r="AG11" s="49">
        <v>308</v>
      </c>
      <c r="AH11" s="80" t="s">
        <v>2154</v>
      </c>
      <c r="AI11" s="80" t="s">
        <v>1221</v>
      </c>
      <c r="AJ11" s="80"/>
      <c r="AK11" s="83" t="s">
        <v>2225</v>
      </c>
      <c r="AL11" s="83" t="s">
        <v>2326</v>
      </c>
    </row>
    <row r="12" spans="1:38" ht="15">
      <c r="A12" s="65" t="s">
        <v>1387</v>
      </c>
      <c r="B12" s="66" t="s">
        <v>1412</v>
      </c>
      <c r="C12" s="66" t="s">
        <v>56</v>
      </c>
      <c r="D12" s="106"/>
      <c r="E12" s="14"/>
      <c r="F12" s="15" t="s">
        <v>2960</v>
      </c>
      <c r="G12" s="64"/>
      <c r="H12" s="64"/>
      <c r="I12" s="107">
        <v>12</v>
      </c>
      <c r="J12" s="78"/>
      <c r="K12" s="49">
        <v>7</v>
      </c>
      <c r="L12" s="49">
        <v>6</v>
      </c>
      <c r="M12" s="49">
        <v>2</v>
      </c>
      <c r="N12" s="49">
        <v>8</v>
      </c>
      <c r="O12" s="49">
        <v>2</v>
      </c>
      <c r="P12" s="50">
        <v>0</v>
      </c>
      <c r="Q12" s="50">
        <v>0</v>
      </c>
      <c r="R12" s="49">
        <v>1</v>
      </c>
      <c r="S12" s="49">
        <v>0</v>
      </c>
      <c r="T12" s="49">
        <v>7</v>
      </c>
      <c r="U12" s="49">
        <v>8</v>
      </c>
      <c r="V12" s="49">
        <v>2</v>
      </c>
      <c r="W12" s="50">
        <v>1.469388</v>
      </c>
      <c r="X12" s="50">
        <v>0.14285714285714285</v>
      </c>
      <c r="Y12" s="49">
        <v>7</v>
      </c>
      <c r="Z12" s="50">
        <v>4.117647058823529</v>
      </c>
      <c r="AA12" s="49">
        <v>0</v>
      </c>
      <c r="AB12" s="50">
        <v>0</v>
      </c>
      <c r="AC12" s="49">
        <v>0</v>
      </c>
      <c r="AD12" s="50">
        <v>0</v>
      </c>
      <c r="AE12" s="49">
        <v>163</v>
      </c>
      <c r="AF12" s="50">
        <v>95.88235294117646</v>
      </c>
      <c r="AG12" s="49">
        <v>170</v>
      </c>
      <c r="AH12" s="80" t="s">
        <v>2166</v>
      </c>
      <c r="AI12" s="80" t="s">
        <v>2174</v>
      </c>
      <c r="AJ12" s="80"/>
      <c r="AK12" s="83" t="s">
        <v>2226</v>
      </c>
      <c r="AL12" s="83" t="s">
        <v>2327</v>
      </c>
    </row>
    <row r="13" spans="1:38" ht="15">
      <c r="A13" s="65" t="s">
        <v>1388</v>
      </c>
      <c r="B13" s="66" t="s">
        <v>1413</v>
      </c>
      <c r="C13" s="66" t="s">
        <v>56</v>
      </c>
      <c r="D13" s="106"/>
      <c r="E13" s="14"/>
      <c r="F13" s="15" t="s">
        <v>2961</v>
      </c>
      <c r="G13" s="64"/>
      <c r="H13" s="64"/>
      <c r="I13" s="107">
        <v>13</v>
      </c>
      <c r="J13" s="78"/>
      <c r="K13" s="49">
        <v>7</v>
      </c>
      <c r="L13" s="49">
        <v>7</v>
      </c>
      <c r="M13" s="49">
        <v>0</v>
      </c>
      <c r="N13" s="49">
        <v>7</v>
      </c>
      <c r="O13" s="49">
        <v>1</v>
      </c>
      <c r="P13" s="50">
        <v>0</v>
      </c>
      <c r="Q13" s="50">
        <v>0</v>
      </c>
      <c r="R13" s="49">
        <v>1</v>
      </c>
      <c r="S13" s="49">
        <v>0</v>
      </c>
      <c r="T13" s="49">
        <v>7</v>
      </c>
      <c r="U13" s="49">
        <v>7</v>
      </c>
      <c r="V13" s="49">
        <v>3</v>
      </c>
      <c r="W13" s="50">
        <v>1.632653</v>
      </c>
      <c r="X13" s="50">
        <v>0.14285714285714285</v>
      </c>
      <c r="Y13" s="49">
        <v>6</v>
      </c>
      <c r="Z13" s="50">
        <v>4.615384615384615</v>
      </c>
      <c r="AA13" s="49">
        <v>0</v>
      </c>
      <c r="AB13" s="50">
        <v>0</v>
      </c>
      <c r="AC13" s="49">
        <v>0</v>
      </c>
      <c r="AD13" s="50">
        <v>0</v>
      </c>
      <c r="AE13" s="49">
        <v>124</v>
      </c>
      <c r="AF13" s="50">
        <v>95.38461538461539</v>
      </c>
      <c r="AG13" s="49">
        <v>130</v>
      </c>
      <c r="AH13" s="80"/>
      <c r="AI13" s="80"/>
      <c r="AJ13" s="80"/>
      <c r="AK13" s="83" t="s">
        <v>2227</v>
      </c>
      <c r="AL13" s="83" t="s">
        <v>2328</v>
      </c>
    </row>
    <row r="14" spans="1:38" ht="15">
      <c r="A14" s="65" t="s">
        <v>1389</v>
      </c>
      <c r="B14" s="66" t="s">
        <v>1414</v>
      </c>
      <c r="C14" s="66" t="s">
        <v>56</v>
      </c>
      <c r="D14" s="106"/>
      <c r="E14" s="14"/>
      <c r="F14" s="15" t="s">
        <v>2962</v>
      </c>
      <c r="G14" s="64"/>
      <c r="H14" s="64"/>
      <c r="I14" s="107">
        <v>14</v>
      </c>
      <c r="J14" s="78"/>
      <c r="K14" s="49">
        <v>4</v>
      </c>
      <c r="L14" s="49">
        <v>4</v>
      </c>
      <c r="M14" s="49">
        <v>0</v>
      </c>
      <c r="N14" s="49">
        <v>4</v>
      </c>
      <c r="O14" s="49">
        <v>1</v>
      </c>
      <c r="P14" s="50">
        <v>0</v>
      </c>
      <c r="Q14" s="50">
        <v>0</v>
      </c>
      <c r="R14" s="49">
        <v>1</v>
      </c>
      <c r="S14" s="49">
        <v>0</v>
      </c>
      <c r="T14" s="49">
        <v>4</v>
      </c>
      <c r="U14" s="49">
        <v>4</v>
      </c>
      <c r="V14" s="49">
        <v>2</v>
      </c>
      <c r="W14" s="50">
        <v>1.125</v>
      </c>
      <c r="X14" s="50">
        <v>0.25</v>
      </c>
      <c r="Y14" s="49">
        <v>0</v>
      </c>
      <c r="Z14" s="50">
        <v>0</v>
      </c>
      <c r="AA14" s="49">
        <v>0</v>
      </c>
      <c r="AB14" s="50">
        <v>0</v>
      </c>
      <c r="AC14" s="49">
        <v>0</v>
      </c>
      <c r="AD14" s="50">
        <v>0</v>
      </c>
      <c r="AE14" s="49">
        <v>43</v>
      </c>
      <c r="AF14" s="50">
        <v>100</v>
      </c>
      <c r="AG14" s="49">
        <v>43</v>
      </c>
      <c r="AH14" s="80"/>
      <c r="AI14" s="80"/>
      <c r="AJ14" s="80"/>
      <c r="AK14" s="83" t="s">
        <v>2228</v>
      </c>
      <c r="AL14" s="83" t="s">
        <v>1239</v>
      </c>
    </row>
    <row r="15" spans="1:38" ht="15">
      <c r="A15" s="65" t="s">
        <v>1390</v>
      </c>
      <c r="B15" s="66" t="s">
        <v>1403</v>
      </c>
      <c r="C15" s="66" t="s">
        <v>59</v>
      </c>
      <c r="D15" s="106"/>
      <c r="E15" s="14"/>
      <c r="F15" s="15" t="s">
        <v>2963</v>
      </c>
      <c r="G15" s="64"/>
      <c r="H15" s="64"/>
      <c r="I15" s="107">
        <v>15</v>
      </c>
      <c r="J15" s="78"/>
      <c r="K15" s="49">
        <v>4</v>
      </c>
      <c r="L15" s="49">
        <v>4</v>
      </c>
      <c r="M15" s="49">
        <v>0</v>
      </c>
      <c r="N15" s="49">
        <v>4</v>
      </c>
      <c r="O15" s="49">
        <v>1</v>
      </c>
      <c r="P15" s="50">
        <v>0</v>
      </c>
      <c r="Q15" s="50">
        <v>0</v>
      </c>
      <c r="R15" s="49">
        <v>1</v>
      </c>
      <c r="S15" s="49">
        <v>0</v>
      </c>
      <c r="T15" s="49">
        <v>4</v>
      </c>
      <c r="U15" s="49">
        <v>4</v>
      </c>
      <c r="V15" s="49">
        <v>2</v>
      </c>
      <c r="W15" s="50">
        <v>1.125</v>
      </c>
      <c r="X15" s="50">
        <v>0.25</v>
      </c>
      <c r="Y15" s="49">
        <v>0</v>
      </c>
      <c r="Z15" s="50">
        <v>0</v>
      </c>
      <c r="AA15" s="49">
        <v>0</v>
      </c>
      <c r="AB15" s="50">
        <v>0</v>
      </c>
      <c r="AC15" s="49">
        <v>0</v>
      </c>
      <c r="AD15" s="50">
        <v>0</v>
      </c>
      <c r="AE15" s="49">
        <v>18</v>
      </c>
      <c r="AF15" s="50">
        <v>100</v>
      </c>
      <c r="AG15" s="49">
        <v>18</v>
      </c>
      <c r="AH15" s="80"/>
      <c r="AI15" s="80"/>
      <c r="AJ15" s="80"/>
      <c r="AK15" s="83" t="s">
        <v>1753</v>
      </c>
      <c r="AL15" s="83" t="s">
        <v>1239</v>
      </c>
    </row>
    <row r="16" spans="1:38" ht="15">
      <c r="A16" s="65" t="s">
        <v>1391</v>
      </c>
      <c r="B16" s="66" t="s">
        <v>1404</v>
      </c>
      <c r="C16" s="66" t="s">
        <v>59</v>
      </c>
      <c r="D16" s="106"/>
      <c r="E16" s="14"/>
      <c r="F16" s="15" t="s">
        <v>1391</v>
      </c>
      <c r="G16" s="64"/>
      <c r="H16" s="64"/>
      <c r="I16" s="107">
        <v>16</v>
      </c>
      <c r="J16" s="78"/>
      <c r="K16" s="49">
        <v>4</v>
      </c>
      <c r="L16" s="49">
        <v>4</v>
      </c>
      <c r="M16" s="49">
        <v>0</v>
      </c>
      <c r="N16" s="49">
        <v>4</v>
      </c>
      <c r="O16" s="49">
        <v>1</v>
      </c>
      <c r="P16" s="50">
        <v>0</v>
      </c>
      <c r="Q16" s="50">
        <v>0</v>
      </c>
      <c r="R16" s="49">
        <v>1</v>
      </c>
      <c r="S16" s="49">
        <v>0</v>
      </c>
      <c r="T16" s="49">
        <v>4</v>
      </c>
      <c r="U16" s="49">
        <v>4</v>
      </c>
      <c r="V16" s="49">
        <v>2</v>
      </c>
      <c r="W16" s="50">
        <v>1.125</v>
      </c>
      <c r="X16" s="50">
        <v>0.25</v>
      </c>
      <c r="Y16" s="49">
        <v>1</v>
      </c>
      <c r="Z16" s="50">
        <v>3.0303030303030303</v>
      </c>
      <c r="AA16" s="49">
        <v>0</v>
      </c>
      <c r="AB16" s="50">
        <v>0</v>
      </c>
      <c r="AC16" s="49">
        <v>0</v>
      </c>
      <c r="AD16" s="50">
        <v>0</v>
      </c>
      <c r="AE16" s="49">
        <v>32</v>
      </c>
      <c r="AF16" s="50">
        <v>96.96969696969697</v>
      </c>
      <c r="AG16" s="49">
        <v>33</v>
      </c>
      <c r="AH16" s="80"/>
      <c r="AI16" s="80"/>
      <c r="AJ16" s="80"/>
      <c r="AK16" s="83" t="s">
        <v>1239</v>
      </c>
      <c r="AL16" s="83" t="s">
        <v>1239</v>
      </c>
    </row>
    <row r="17" spans="1:38" ht="15">
      <c r="A17" s="65" t="s">
        <v>1392</v>
      </c>
      <c r="B17" s="66" t="s">
        <v>1405</v>
      </c>
      <c r="C17" s="66" t="s">
        <v>59</v>
      </c>
      <c r="D17" s="106"/>
      <c r="E17" s="14"/>
      <c r="F17" s="15" t="s">
        <v>2964</v>
      </c>
      <c r="G17" s="64"/>
      <c r="H17" s="64"/>
      <c r="I17" s="107">
        <v>17</v>
      </c>
      <c r="J17" s="78"/>
      <c r="K17" s="49">
        <v>3</v>
      </c>
      <c r="L17" s="49">
        <v>3</v>
      </c>
      <c r="M17" s="49">
        <v>0</v>
      </c>
      <c r="N17" s="49">
        <v>3</v>
      </c>
      <c r="O17" s="49">
        <v>1</v>
      </c>
      <c r="P17" s="50">
        <v>0</v>
      </c>
      <c r="Q17" s="50">
        <v>0</v>
      </c>
      <c r="R17" s="49">
        <v>1</v>
      </c>
      <c r="S17" s="49">
        <v>0</v>
      </c>
      <c r="T17" s="49">
        <v>3</v>
      </c>
      <c r="U17" s="49">
        <v>3</v>
      </c>
      <c r="V17" s="49">
        <v>2</v>
      </c>
      <c r="W17" s="50">
        <v>0.888889</v>
      </c>
      <c r="X17" s="50">
        <v>0.3333333333333333</v>
      </c>
      <c r="Y17" s="49">
        <v>1</v>
      </c>
      <c r="Z17" s="50">
        <v>8.333333333333334</v>
      </c>
      <c r="AA17" s="49">
        <v>1</v>
      </c>
      <c r="AB17" s="50">
        <v>8.333333333333334</v>
      </c>
      <c r="AC17" s="49">
        <v>0</v>
      </c>
      <c r="AD17" s="50">
        <v>0</v>
      </c>
      <c r="AE17" s="49">
        <v>10</v>
      </c>
      <c r="AF17" s="50">
        <v>83.33333333333333</v>
      </c>
      <c r="AG17" s="49">
        <v>12</v>
      </c>
      <c r="AH17" s="80"/>
      <c r="AI17" s="80"/>
      <c r="AJ17" s="80"/>
      <c r="AK17" s="83" t="s">
        <v>1459</v>
      </c>
      <c r="AL17" s="83" t="s">
        <v>1239</v>
      </c>
    </row>
    <row r="18" spans="1:38" ht="15">
      <c r="A18" s="65" t="s">
        <v>1393</v>
      </c>
      <c r="B18" s="66" t="s">
        <v>1406</v>
      </c>
      <c r="C18" s="66" t="s">
        <v>59</v>
      </c>
      <c r="D18" s="106"/>
      <c r="E18" s="14"/>
      <c r="F18" s="15" t="s">
        <v>2965</v>
      </c>
      <c r="G18" s="64"/>
      <c r="H18" s="64"/>
      <c r="I18" s="107">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24</v>
      </c>
      <c r="AF18" s="50">
        <v>100</v>
      </c>
      <c r="AG18" s="49">
        <v>24</v>
      </c>
      <c r="AH18" s="80"/>
      <c r="AI18" s="80"/>
      <c r="AJ18" s="80"/>
      <c r="AK18" s="83" t="s">
        <v>1976</v>
      </c>
      <c r="AL18" s="83" t="s">
        <v>1239</v>
      </c>
    </row>
    <row r="19" spans="1:38" ht="15">
      <c r="A19" s="65" t="s">
        <v>1394</v>
      </c>
      <c r="B19" s="66" t="s">
        <v>1407</v>
      </c>
      <c r="C19" s="66" t="s">
        <v>59</v>
      </c>
      <c r="D19" s="106"/>
      <c r="E19" s="14"/>
      <c r="F19" s="15" t="s">
        <v>2966</v>
      </c>
      <c r="G19" s="64"/>
      <c r="H19" s="64"/>
      <c r="I19" s="107">
        <v>19</v>
      </c>
      <c r="J19" s="78"/>
      <c r="K19" s="49">
        <v>3</v>
      </c>
      <c r="L19" s="49">
        <v>4</v>
      </c>
      <c r="M19" s="49">
        <v>7</v>
      </c>
      <c r="N19" s="49">
        <v>11</v>
      </c>
      <c r="O19" s="49">
        <v>7</v>
      </c>
      <c r="P19" s="50">
        <v>1</v>
      </c>
      <c r="Q19" s="50">
        <v>1</v>
      </c>
      <c r="R19" s="49">
        <v>1</v>
      </c>
      <c r="S19" s="49">
        <v>0</v>
      </c>
      <c r="T19" s="49">
        <v>3</v>
      </c>
      <c r="U19" s="49">
        <v>11</v>
      </c>
      <c r="V19" s="49">
        <v>2</v>
      </c>
      <c r="W19" s="50">
        <v>0.888889</v>
      </c>
      <c r="X19" s="50">
        <v>0.6666666666666666</v>
      </c>
      <c r="Y19" s="49">
        <v>5</v>
      </c>
      <c r="Z19" s="50">
        <v>1.0266940451745379</v>
      </c>
      <c r="AA19" s="49">
        <v>2</v>
      </c>
      <c r="AB19" s="50">
        <v>0.4106776180698152</v>
      </c>
      <c r="AC19" s="49">
        <v>0</v>
      </c>
      <c r="AD19" s="50">
        <v>0</v>
      </c>
      <c r="AE19" s="49">
        <v>480</v>
      </c>
      <c r="AF19" s="50">
        <v>98.56262833675565</v>
      </c>
      <c r="AG19" s="49">
        <v>487</v>
      </c>
      <c r="AH19" s="80" t="s">
        <v>2167</v>
      </c>
      <c r="AI19" s="80" t="s">
        <v>2192</v>
      </c>
      <c r="AJ19" s="80"/>
      <c r="AK19" s="83" t="s">
        <v>2229</v>
      </c>
      <c r="AL19" s="83" t="s">
        <v>2329</v>
      </c>
    </row>
    <row r="20" spans="1:38" ht="15">
      <c r="A20" s="65" t="s">
        <v>1395</v>
      </c>
      <c r="B20" s="66" t="s">
        <v>1408</v>
      </c>
      <c r="C20" s="66" t="s">
        <v>59</v>
      </c>
      <c r="D20" s="106"/>
      <c r="E20" s="14"/>
      <c r="F20" s="15" t="s">
        <v>2967</v>
      </c>
      <c r="G20" s="64"/>
      <c r="H20" s="64"/>
      <c r="I20" s="107">
        <v>20</v>
      </c>
      <c r="J20" s="78"/>
      <c r="K20" s="49">
        <v>2</v>
      </c>
      <c r="L20" s="49">
        <v>0</v>
      </c>
      <c r="M20" s="49">
        <v>3</v>
      </c>
      <c r="N20" s="49">
        <v>3</v>
      </c>
      <c r="O20" s="49">
        <v>0</v>
      </c>
      <c r="P20" s="50">
        <v>0</v>
      </c>
      <c r="Q20" s="50">
        <v>0</v>
      </c>
      <c r="R20" s="49">
        <v>1</v>
      </c>
      <c r="S20" s="49">
        <v>0</v>
      </c>
      <c r="T20" s="49">
        <v>2</v>
      </c>
      <c r="U20" s="49">
        <v>3</v>
      </c>
      <c r="V20" s="49">
        <v>1</v>
      </c>
      <c r="W20" s="50">
        <v>0.5</v>
      </c>
      <c r="X20" s="50">
        <v>0.5</v>
      </c>
      <c r="Y20" s="49">
        <v>2</v>
      </c>
      <c r="Z20" s="50">
        <v>2.0833333333333335</v>
      </c>
      <c r="AA20" s="49">
        <v>0</v>
      </c>
      <c r="AB20" s="50">
        <v>0</v>
      </c>
      <c r="AC20" s="49">
        <v>0</v>
      </c>
      <c r="AD20" s="50">
        <v>0</v>
      </c>
      <c r="AE20" s="49">
        <v>94</v>
      </c>
      <c r="AF20" s="50">
        <v>97.91666666666667</v>
      </c>
      <c r="AG20" s="49">
        <v>96</v>
      </c>
      <c r="AH20" s="80"/>
      <c r="AI20" s="80"/>
      <c r="AJ20" s="80"/>
      <c r="AK20" s="83" t="s">
        <v>2230</v>
      </c>
      <c r="AL20" s="83" t="s">
        <v>2330</v>
      </c>
    </row>
    <row r="21" spans="1:38" ht="15">
      <c r="A21" s="65" t="s">
        <v>1396</v>
      </c>
      <c r="B21" s="66" t="s">
        <v>1409</v>
      </c>
      <c r="C21" s="66" t="s">
        <v>59</v>
      </c>
      <c r="D21" s="106"/>
      <c r="E21" s="14"/>
      <c r="F21" s="15" t="s">
        <v>1396</v>
      </c>
      <c r="G21" s="64"/>
      <c r="H21" s="64"/>
      <c r="I21" s="107">
        <v>21</v>
      </c>
      <c r="J21" s="78"/>
      <c r="K21" s="49">
        <v>2</v>
      </c>
      <c r="L21" s="49">
        <v>2</v>
      </c>
      <c r="M21" s="49">
        <v>0</v>
      </c>
      <c r="N21" s="49">
        <v>2</v>
      </c>
      <c r="O21" s="49">
        <v>1</v>
      </c>
      <c r="P21" s="50">
        <v>0</v>
      </c>
      <c r="Q21" s="50">
        <v>0</v>
      </c>
      <c r="R21" s="49">
        <v>1</v>
      </c>
      <c r="S21" s="49">
        <v>0</v>
      </c>
      <c r="T21" s="49">
        <v>2</v>
      </c>
      <c r="U21" s="49">
        <v>2</v>
      </c>
      <c r="V21" s="49">
        <v>1</v>
      </c>
      <c r="W21" s="50">
        <v>0.5</v>
      </c>
      <c r="X21" s="50">
        <v>0.5</v>
      </c>
      <c r="Y21" s="49">
        <v>1</v>
      </c>
      <c r="Z21" s="50">
        <v>25</v>
      </c>
      <c r="AA21" s="49">
        <v>0</v>
      </c>
      <c r="AB21" s="50">
        <v>0</v>
      </c>
      <c r="AC21" s="49">
        <v>0</v>
      </c>
      <c r="AD21" s="50">
        <v>0</v>
      </c>
      <c r="AE21" s="49">
        <v>3</v>
      </c>
      <c r="AF21" s="50">
        <v>75</v>
      </c>
      <c r="AG21" s="49">
        <v>4</v>
      </c>
      <c r="AH21" s="80"/>
      <c r="AI21" s="80"/>
      <c r="AJ21" s="80"/>
      <c r="AK21" s="83" t="s">
        <v>1239</v>
      </c>
      <c r="AL21" s="83" t="s">
        <v>1239</v>
      </c>
    </row>
    <row r="22" spans="1:38" ht="15">
      <c r="A22" s="65" t="s">
        <v>1397</v>
      </c>
      <c r="B22" s="66" t="s">
        <v>1410</v>
      </c>
      <c r="C22" s="66" t="s">
        <v>59</v>
      </c>
      <c r="D22" s="106"/>
      <c r="E22" s="14"/>
      <c r="F22" s="15" t="s">
        <v>2968</v>
      </c>
      <c r="G22" s="64"/>
      <c r="H22" s="64"/>
      <c r="I22" s="107">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2</v>
      </c>
      <c r="AB22" s="50">
        <v>8.695652173913043</v>
      </c>
      <c r="AC22" s="49">
        <v>0</v>
      </c>
      <c r="AD22" s="50">
        <v>0</v>
      </c>
      <c r="AE22" s="49">
        <v>21</v>
      </c>
      <c r="AF22" s="50">
        <v>91.30434782608695</v>
      </c>
      <c r="AG22" s="49">
        <v>23</v>
      </c>
      <c r="AH22" s="80"/>
      <c r="AI22" s="80"/>
      <c r="AJ22" s="80"/>
      <c r="AK22" s="83" t="s">
        <v>2231</v>
      </c>
      <c r="AL22" s="83" t="s">
        <v>1239</v>
      </c>
    </row>
    <row r="23" spans="1:38" ht="15">
      <c r="A23" s="65" t="s">
        <v>1398</v>
      </c>
      <c r="B23" s="66" t="s">
        <v>1411</v>
      </c>
      <c r="C23" s="66" t="s">
        <v>59</v>
      </c>
      <c r="D23" s="106"/>
      <c r="E23" s="14"/>
      <c r="F23" s="15" t="s">
        <v>2969</v>
      </c>
      <c r="G23" s="64"/>
      <c r="H23" s="64"/>
      <c r="I23" s="107">
        <v>23</v>
      </c>
      <c r="J23" s="78"/>
      <c r="K23" s="49">
        <v>2</v>
      </c>
      <c r="L23" s="49">
        <v>1</v>
      </c>
      <c r="M23" s="49">
        <v>2</v>
      </c>
      <c r="N23" s="49">
        <v>3</v>
      </c>
      <c r="O23" s="49">
        <v>2</v>
      </c>
      <c r="P23" s="50">
        <v>0</v>
      </c>
      <c r="Q23" s="50">
        <v>0</v>
      </c>
      <c r="R23" s="49">
        <v>1</v>
      </c>
      <c r="S23" s="49">
        <v>0</v>
      </c>
      <c r="T23" s="49">
        <v>2</v>
      </c>
      <c r="U23" s="49">
        <v>3</v>
      </c>
      <c r="V23" s="49">
        <v>1</v>
      </c>
      <c r="W23" s="50">
        <v>0.5</v>
      </c>
      <c r="X23" s="50">
        <v>0.5</v>
      </c>
      <c r="Y23" s="49">
        <v>0</v>
      </c>
      <c r="Z23" s="50">
        <v>0</v>
      </c>
      <c r="AA23" s="49">
        <v>0</v>
      </c>
      <c r="AB23" s="50">
        <v>0</v>
      </c>
      <c r="AC23" s="49">
        <v>0</v>
      </c>
      <c r="AD23" s="50">
        <v>0</v>
      </c>
      <c r="AE23" s="49">
        <v>88</v>
      </c>
      <c r="AF23" s="50">
        <v>100</v>
      </c>
      <c r="AG23" s="49">
        <v>88</v>
      </c>
      <c r="AH23" s="80" t="s">
        <v>2168</v>
      </c>
      <c r="AI23" s="80" t="s">
        <v>1225</v>
      </c>
      <c r="AJ23" s="80"/>
      <c r="AK23" s="83" t="s">
        <v>2232</v>
      </c>
      <c r="AL23" s="83" t="s">
        <v>2331</v>
      </c>
    </row>
    <row r="24" spans="1:38" ht="15">
      <c r="A24" s="65" t="s">
        <v>1399</v>
      </c>
      <c r="B24" s="66" t="s">
        <v>1412</v>
      </c>
      <c r="C24" s="66" t="s">
        <v>59</v>
      </c>
      <c r="D24" s="106"/>
      <c r="E24" s="14"/>
      <c r="F24" s="15" t="s">
        <v>2970</v>
      </c>
      <c r="G24" s="64"/>
      <c r="H24" s="64"/>
      <c r="I24" s="107">
        <v>24</v>
      </c>
      <c r="J24" s="78"/>
      <c r="K24" s="49">
        <v>2</v>
      </c>
      <c r="L24" s="49">
        <v>1</v>
      </c>
      <c r="M24" s="49">
        <v>0</v>
      </c>
      <c r="N24" s="49">
        <v>1</v>
      </c>
      <c r="O24" s="49">
        <v>0</v>
      </c>
      <c r="P24" s="50">
        <v>0</v>
      </c>
      <c r="Q24" s="50">
        <v>0</v>
      </c>
      <c r="R24" s="49">
        <v>1</v>
      </c>
      <c r="S24" s="49">
        <v>0</v>
      </c>
      <c r="T24" s="49">
        <v>2</v>
      </c>
      <c r="U24" s="49">
        <v>1</v>
      </c>
      <c r="V24" s="49">
        <v>1</v>
      </c>
      <c r="W24" s="50">
        <v>0.5</v>
      </c>
      <c r="X24" s="50">
        <v>0.5</v>
      </c>
      <c r="Y24" s="49">
        <v>2</v>
      </c>
      <c r="Z24" s="50">
        <v>2.150537634408602</v>
      </c>
      <c r="AA24" s="49">
        <v>0</v>
      </c>
      <c r="AB24" s="50">
        <v>0</v>
      </c>
      <c r="AC24" s="49">
        <v>0</v>
      </c>
      <c r="AD24" s="50">
        <v>0</v>
      </c>
      <c r="AE24" s="49">
        <v>91</v>
      </c>
      <c r="AF24" s="50">
        <v>97.84946236559139</v>
      </c>
      <c r="AG24" s="49">
        <v>93</v>
      </c>
      <c r="AH24" s="80" t="s">
        <v>2169</v>
      </c>
      <c r="AI24" s="80" t="s">
        <v>2193</v>
      </c>
      <c r="AJ24" s="80"/>
      <c r="AK24" s="83" t="s">
        <v>2233</v>
      </c>
      <c r="AL24" s="83" t="s">
        <v>2332</v>
      </c>
    </row>
    <row r="25" spans="1:38" ht="15">
      <c r="A25" s="65" t="s">
        <v>1400</v>
      </c>
      <c r="B25" s="66" t="s">
        <v>1413</v>
      </c>
      <c r="C25" s="66" t="s">
        <v>59</v>
      </c>
      <c r="D25" s="106"/>
      <c r="E25" s="14"/>
      <c r="F25" s="15" t="s">
        <v>1400</v>
      </c>
      <c r="G25" s="64"/>
      <c r="H25" s="64"/>
      <c r="I25" s="107">
        <v>25</v>
      </c>
      <c r="J25" s="78"/>
      <c r="K25" s="49">
        <v>2</v>
      </c>
      <c r="L25" s="49">
        <v>2</v>
      </c>
      <c r="M25" s="49">
        <v>0</v>
      </c>
      <c r="N25" s="49">
        <v>2</v>
      </c>
      <c r="O25" s="49">
        <v>1</v>
      </c>
      <c r="P25" s="50">
        <v>0</v>
      </c>
      <c r="Q25" s="50">
        <v>0</v>
      </c>
      <c r="R25" s="49">
        <v>1</v>
      </c>
      <c r="S25" s="49">
        <v>0</v>
      </c>
      <c r="T25" s="49">
        <v>2</v>
      </c>
      <c r="U25" s="49">
        <v>2</v>
      </c>
      <c r="V25" s="49">
        <v>1</v>
      </c>
      <c r="W25" s="50">
        <v>0.5</v>
      </c>
      <c r="X25" s="50">
        <v>0.5</v>
      </c>
      <c r="Y25" s="49">
        <v>2</v>
      </c>
      <c r="Z25" s="50">
        <v>15.384615384615385</v>
      </c>
      <c r="AA25" s="49">
        <v>0</v>
      </c>
      <c r="AB25" s="50">
        <v>0</v>
      </c>
      <c r="AC25" s="49">
        <v>0</v>
      </c>
      <c r="AD25" s="50">
        <v>0</v>
      </c>
      <c r="AE25" s="49">
        <v>11</v>
      </c>
      <c r="AF25" s="50">
        <v>84.61538461538461</v>
      </c>
      <c r="AG25" s="49">
        <v>13</v>
      </c>
      <c r="AH25" s="80"/>
      <c r="AI25" s="80"/>
      <c r="AJ25" s="80"/>
      <c r="AK25" s="83" t="s">
        <v>1239</v>
      </c>
      <c r="AL25" s="83" t="s">
        <v>1239</v>
      </c>
    </row>
    <row r="26" spans="1:38" ht="15">
      <c r="A26" s="65" t="s">
        <v>1401</v>
      </c>
      <c r="B26" s="66" t="s">
        <v>1414</v>
      </c>
      <c r="C26" s="66" t="s">
        <v>59</v>
      </c>
      <c r="D26" s="106"/>
      <c r="E26" s="14"/>
      <c r="F26" s="15" t="s">
        <v>1401</v>
      </c>
      <c r="G26" s="64"/>
      <c r="H26" s="64"/>
      <c r="I26" s="107">
        <v>26</v>
      </c>
      <c r="J26" s="78"/>
      <c r="K26" s="49">
        <v>2</v>
      </c>
      <c r="L26" s="49">
        <v>2</v>
      </c>
      <c r="M26" s="49">
        <v>0</v>
      </c>
      <c r="N26" s="49">
        <v>2</v>
      </c>
      <c r="O26" s="49">
        <v>1</v>
      </c>
      <c r="P26" s="50">
        <v>0</v>
      </c>
      <c r="Q26" s="50">
        <v>0</v>
      </c>
      <c r="R26" s="49">
        <v>1</v>
      </c>
      <c r="S26" s="49">
        <v>0</v>
      </c>
      <c r="T26" s="49">
        <v>2</v>
      </c>
      <c r="U26" s="49">
        <v>2</v>
      </c>
      <c r="V26" s="49">
        <v>1</v>
      </c>
      <c r="W26" s="50">
        <v>0.5</v>
      </c>
      <c r="X26" s="50">
        <v>0.5</v>
      </c>
      <c r="Y26" s="49">
        <v>1</v>
      </c>
      <c r="Z26" s="50">
        <v>16.666666666666668</v>
      </c>
      <c r="AA26" s="49">
        <v>0</v>
      </c>
      <c r="AB26" s="50">
        <v>0</v>
      </c>
      <c r="AC26" s="49">
        <v>0</v>
      </c>
      <c r="AD26" s="50">
        <v>0</v>
      </c>
      <c r="AE26" s="49">
        <v>5</v>
      </c>
      <c r="AF26" s="50">
        <v>83.33333333333333</v>
      </c>
      <c r="AG26" s="49">
        <v>6</v>
      </c>
      <c r="AH26" s="80"/>
      <c r="AI26" s="80"/>
      <c r="AJ26" s="80"/>
      <c r="AK26" s="83" t="s">
        <v>1239</v>
      </c>
      <c r="AL26" s="83" t="s">
        <v>1239</v>
      </c>
    </row>
    <row r="27" spans="1:38" ht="15">
      <c r="A27" s="65" t="s">
        <v>1402</v>
      </c>
      <c r="B27" s="66" t="s">
        <v>1403</v>
      </c>
      <c r="C27" s="66" t="s">
        <v>61</v>
      </c>
      <c r="D27" s="106"/>
      <c r="E27" s="14"/>
      <c r="F27" s="15" t="s">
        <v>1402</v>
      </c>
      <c r="G27" s="64"/>
      <c r="H27" s="64"/>
      <c r="I27" s="107">
        <v>27</v>
      </c>
      <c r="J27" s="78"/>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5</v>
      </c>
      <c r="AF27" s="50">
        <v>100</v>
      </c>
      <c r="AG27" s="49">
        <v>5</v>
      </c>
      <c r="AH27" s="80"/>
      <c r="AI27" s="80"/>
      <c r="AJ27" s="80"/>
      <c r="AK27" s="83" t="s">
        <v>1239</v>
      </c>
      <c r="AL27" s="83" t="s">
        <v>1239</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1378</v>
      </c>
      <c r="B2" s="83" t="s">
        <v>369</v>
      </c>
      <c r="C2" s="80">
        <f>VLOOKUP(GroupVertices[[#This Row],[Vertex]],Vertices[],MATCH("ID",Vertices[[#Headers],[Vertex]:[Top Word Pairs in Comment by Salience]],0),FALSE)</f>
        <v>37</v>
      </c>
    </row>
    <row r="3" spans="1:3" ht="15">
      <c r="A3" s="81" t="s">
        <v>1378</v>
      </c>
      <c r="B3" s="83" t="s">
        <v>507</v>
      </c>
      <c r="C3" s="80">
        <f>VLOOKUP(GroupVertices[[#This Row],[Vertex]],Vertices[],MATCH("ID",Vertices[[#Headers],[Vertex]:[Top Word Pairs in Comment by Salience]],0),FALSE)</f>
        <v>191</v>
      </c>
    </row>
    <row r="4" spans="1:3" ht="15">
      <c r="A4" s="81" t="s">
        <v>1378</v>
      </c>
      <c r="B4" s="83" t="s">
        <v>506</v>
      </c>
      <c r="C4" s="80">
        <f>VLOOKUP(GroupVertices[[#This Row],[Vertex]],Vertices[],MATCH("ID",Vertices[[#Headers],[Vertex]:[Top Word Pairs in Comment by Salience]],0),FALSE)</f>
        <v>190</v>
      </c>
    </row>
    <row r="5" spans="1:3" ht="15">
      <c r="A5" s="81" t="s">
        <v>1378</v>
      </c>
      <c r="B5" s="83" t="s">
        <v>505</v>
      </c>
      <c r="C5" s="80">
        <f>VLOOKUP(GroupVertices[[#This Row],[Vertex]],Vertices[],MATCH("ID",Vertices[[#Headers],[Vertex]:[Top Word Pairs in Comment by Salience]],0),FALSE)</f>
        <v>189</v>
      </c>
    </row>
    <row r="6" spans="1:3" ht="15">
      <c r="A6" s="81" t="s">
        <v>1378</v>
      </c>
      <c r="B6" s="83" t="s">
        <v>504</v>
      </c>
      <c r="C6" s="80">
        <f>VLOOKUP(GroupVertices[[#This Row],[Vertex]],Vertices[],MATCH("ID",Vertices[[#Headers],[Vertex]:[Top Word Pairs in Comment by Salience]],0),FALSE)</f>
        <v>188</v>
      </c>
    </row>
    <row r="7" spans="1:3" ht="15">
      <c r="A7" s="81" t="s">
        <v>1378</v>
      </c>
      <c r="B7" s="83" t="s">
        <v>503</v>
      </c>
      <c r="C7" s="80">
        <f>VLOOKUP(GroupVertices[[#This Row],[Vertex]],Vertices[],MATCH("ID",Vertices[[#Headers],[Vertex]:[Top Word Pairs in Comment by Salience]],0),FALSE)</f>
        <v>187</v>
      </c>
    </row>
    <row r="8" spans="1:3" ht="15">
      <c r="A8" s="81" t="s">
        <v>1378</v>
      </c>
      <c r="B8" s="83" t="s">
        <v>502</v>
      </c>
      <c r="C8" s="80">
        <f>VLOOKUP(GroupVertices[[#This Row],[Vertex]],Vertices[],MATCH("ID",Vertices[[#Headers],[Vertex]:[Top Word Pairs in Comment by Salience]],0),FALSE)</f>
        <v>186</v>
      </c>
    </row>
    <row r="9" spans="1:3" ht="15">
      <c r="A9" s="81" t="s">
        <v>1378</v>
      </c>
      <c r="B9" s="83" t="s">
        <v>501</v>
      </c>
      <c r="C9" s="80">
        <f>VLOOKUP(GroupVertices[[#This Row],[Vertex]],Vertices[],MATCH("ID",Vertices[[#Headers],[Vertex]:[Top Word Pairs in Comment by Salience]],0),FALSE)</f>
        <v>185</v>
      </c>
    </row>
    <row r="10" spans="1:3" ht="15">
      <c r="A10" s="81" t="s">
        <v>1378</v>
      </c>
      <c r="B10" s="83" t="s">
        <v>500</v>
      </c>
      <c r="C10" s="80">
        <f>VLOOKUP(GroupVertices[[#This Row],[Vertex]],Vertices[],MATCH("ID",Vertices[[#Headers],[Vertex]:[Top Word Pairs in Comment by Salience]],0),FALSE)</f>
        <v>184</v>
      </c>
    </row>
    <row r="11" spans="1:3" ht="15">
      <c r="A11" s="81" t="s">
        <v>1378</v>
      </c>
      <c r="B11" s="83" t="s">
        <v>499</v>
      </c>
      <c r="C11" s="80">
        <f>VLOOKUP(GroupVertices[[#This Row],[Vertex]],Vertices[],MATCH("ID",Vertices[[#Headers],[Vertex]:[Top Word Pairs in Comment by Salience]],0),FALSE)</f>
        <v>183</v>
      </c>
    </row>
    <row r="12" spans="1:3" ht="15">
      <c r="A12" s="81" t="s">
        <v>1378</v>
      </c>
      <c r="B12" s="83" t="s">
        <v>498</v>
      </c>
      <c r="C12" s="80">
        <f>VLOOKUP(GroupVertices[[#This Row],[Vertex]],Vertices[],MATCH("ID",Vertices[[#Headers],[Vertex]:[Top Word Pairs in Comment by Salience]],0),FALSE)</f>
        <v>182</v>
      </c>
    </row>
    <row r="13" spans="1:3" ht="15">
      <c r="A13" s="81" t="s">
        <v>1378</v>
      </c>
      <c r="B13" s="83" t="s">
        <v>496</v>
      </c>
      <c r="C13" s="80">
        <f>VLOOKUP(GroupVertices[[#This Row],[Vertex]],Vertices[],MATCH("ID",Vertices[[#Headers],[Vertex]:[Top Word Pairs in Comment by Salience]],0),FALSE)</f>
        <v>180</v>
      </c>
    </row>
    <row r="14" spans="1:3" ht="15">
      <c r="A14" s="81" t="s">
        <v>1378</v>
      </c>
      <c r="B14" s="83" t="s">
        <v>495</v>
      </c>
      <c r="C14" s="80">
        <f>VLOOKUP(GroupVertices[[#This Row],[Vertex]],Vertices[],MATCH("ID",Vertices[[#Headers],[Vertex]:[Top Word Pairs in Comment by Salience]],0),FALSE)</f>
        <v>179</v>
      </c>
    </row>
    <row r="15" spans="1:3" ht="15">
      <c r="A15" s="81" t="s">
        <v>1378</v>
      </c>
      <c r="B15" s="83" t="s">
        <v>494</v>
      </c>
      <c r="C15" s="80">
        <f>VLOOKUP(GroupVertices[[#This Row],[Vertex]],Vertices[],MATCH("ID",Vertices[[#Headers],[Vertex]:[Top Word Pairs in Comment by Salience]],0),FALSE)</f>
        <v>178</v>
      </c>
    </row>
    <row r="16" spans="1:3" ht="15">
      <c r="A16" s="81" t="s">
        <v>1378</v>
      </c>
      <c r="B16" s="83" t="s">
        <v>493</v>
      </c>
      <c r="C16" s="80">
        <f>VLOOKUP(GroupVertices[[#This Row],[Vertex]],Vertices[],MATCH("ID",Vertices[[#Headers],[Vertex]:[Top Word Pairs in Comment by Salience]],0),FALSE)</f>
        <v>177</v>
      </c>
    </row>
    <row r="17" spans="1:3" ht="15">
      <c r="A17" s="81" t="s">
        <v>1378</v>
      </c>
      <c r="B17" s="83" t="s">
        <v>492</v>
      </c>
      <c r="C17" s="80">
        <f>VLOOKUP(GroupVertices[[#This Row],[Vertex]],Vertices[],MATCH("ID",Vertices[[#Headers],[Vertex]:[Top Word Pairs in Comment by Salience]],0),FALSE)</f>
        <v>176</v>
      </c>
    </row>
    <row r="18" spans="1:3" ht="15">
      <c r="A18" s="81" t="s">
        <v>1378</v>
      </c>
      <c r="B18" s="83" t="s">
        <v>491</v>
      </c>
      <c r="C18" s="80">
        <f>VLOOKUP(GroupVertices[[#This Row],[Vertex]],Vertices[],MATCH("ID",Vertices[[#Headers],[Vertex]:[Top Word Pairs in Comment by Salience]],0),FALSE)</f>
        <v>175</v>
      </c>
    </row>
    <row r="19" spans="1:3" ht="15">
      <c r="A19" s="81" t="s">
        <v>1378</v>
      </c>
      <c r="B19" s="83" t="s">
        <v>490</v>
      </c>
      <c r="C19" s="80">
        <f>VLOOKUP(GroupVertices[[#This Row],[Vertex]],Vertices[],MATCH("ID",Vertices[[#Headers],[Vertex]:[Top Word Pairs in Comment by Salience]],0),FALSE)</f>
        <v>174</v>
      </c>
    </row>
    <row r="20" spans="1:3" ht="15">
      <c r="A20" s="81" t="s">
        <v>1378</v>
      </c>
      <c r="B20" s="83" t="s">
        <v>489</v>
      </c>
      <c r="C20" s="80">
        <f>VLOOKUP(GroupVertices[[#This Row],[Vertex]],Vertices[],MATCH("ID",Vertices[[#Headers],[Vertex]:[Top Word Pairs in Comment by Salience]],0),FALSE)</f>
        <v>173</v>
      </c>
    </row>
    <row r="21" spans="1:3" ht="15">
      <c r="A21" s="81" t="s">
        <v>1378</v>
      </c>
      <c r="B21" s="83" t="s">
        <v>488</v>
      </c>
      <c r="C21" s="80">
        <f>VLOOKUP(GroupVertices[[#This Row],[Vertex]],Vertices[],MATCH("ID",Vertices[[#Headers],[Vertex]:[Top Word Pairs in Comment by Salience]],0),FALSE)</f>
        <v>172</v>
      </c>
    </row>
    <row r="22" spans="1:3" ht="15">
      <c r="A22" s="81" t="s">
        <v>1378</v>
      </c>
      <c r="B22" s="83" t="s">
        <v>487</v>
      </c>
      <c r="C22" s="80">
        <f>VLOOKUP(GroupVertices[[#This Row],[Vertex]],Vertices[],MATCH("ID",Vertices[[#Headers],[Vertex]:[Top Word Pairs in Comment by Salience]],0),FALSE)</f>
        <v>171</v>
      </c>
    </row>
    <row r="23" spans="1:3" ht="15">
      <c r="A23" s="81" t="s">
        <v>1378</v>
      </c>
      <c r="B23" s="83" t="s">
        <v>486</v>
      </c>
      <c r="C23" s="80">
        <f>VLOOKUP(GroupVertices[[#This Row],[Vertex]],Vertices[],MATCH("ID",Vertices[[#Headers],[Vertex]:[Top Word Pairs in Comment by Salience]],0),FALSE)</f>
        <v>170</v>
      </c>
    </row>
    <row r="24" spans="1:3" ht="15">
      <c r="A24" s="81" t="s">
        <v>1378</v>
      </c>
      <c r="B24" s="83" t="s">
        <v>485</v>
      </c>
      <c r="C24" s="80">
        <f>VLOOKUP(GroupVertices[[#This Row],[Vertex]],Vertices[],MATCH("ID",Vertices[[#Headers],[Vertex]:[Top Word Pairs in Comment by Salience]],0),FALSE)</f>
        <v>169</v>
      </c>
    </row>
    <row r="25" spans="1:3" ht="15">
      <c r="A25" s="81" t="s">
        <v>1378</v>
      </c>
      <c r="B25" s="83" t="s">
        <v>484</v>
      </c>
      <c r="C25" s="80">
        <f>VLOOKUP(GroupVertices[[#This Row],[Vertex]],Vertices[],MATCH("ID",Vertices[[#Headers],[Vertex]:[Top Word Pairs in Comment by Salience]],0),FALSE)</f>
        <v>168</v>
      </c>
    </row>
    <row r="26" spans="1:3" ht="15">
      <c r="A26" s="81" t="s">
        <v>1378</v>
      </c>
      <c r="B26" s="83" t="s">
        <v>482</v>
      </c>
      <c r="C26" s="80">
        <f>VLOOKUP(GroupVertices[[#This Row],[Vertex]],Vertices[],MATCH("ID",Vertices[[#Headers],[Vertex]:[Top Word Pairs in Comment by Salience]],0),FALSE)</f>
        <v>165</v>
      </c>
    </row>
    <row r="27" spans="1:3" ht="15">
      <c r="A27" s="81" t="s">
        <v>1378</v>
      </c>
      <c r="B27" s="83" t="s">
        <v>481</v>
      </c>
      <c r="C27" s="80">
        <f>VLOOKUP(GroupVertices[[#This Row],[Vertex]],Vertices[],MATCH("ID",Vertices[[#Headers],[Vertex]:[Top Word Pairs in Comment by Salience]],0),FALSE)</f>
        <v>164</v>
      </c>
    </row>
    <row r="28" spans="1:3" ht="15">
      <c r="A28" s="81" t="s">
        <v>1378</v>
      </c>
      <c r="B28" s="83" t="s">
        <v>480</v>
      </c>
      <c r="C28" s="80">
        <f>VLOOKUP(GroupVertices[[#This Row],[Vertex]],Vertices[],MATCH("ID",Vertices[[#Headers],[Vertex]:[Top Word Pairs in Comment by Salience]],0),FALSE)</f>
        <v>163</v>
      </c>
    </row>
    <row r="29" spans="1:3" ht="15">
      <c r="A29" s="81" t="s">
        <v>1378</v>
      </c>
      <c r="B29" s="83" t="s">
        <v>479</v>
      </c>
      <c r="C29" s="80">
        <f>VLOOKUP(GroupVertices[[#This Row],[Vertex]],Vertices[],MATCH("ID",Vertices[[#Headers],[Vertex]:[Top Word Pairs in Comment by Salience]],0),FALSE)</f>
        <v>162</v>
      </c>
    </row>
    <row r="30" spans="1:3" ht="15">
      <c r="A30" s="81" t="s">
        <v>1378</v>
      </c>
      <c r="B30" s="83" t="s">
        <v>478</v>
      </c>
      <c r="C30" s="80">
        <f>VLOOKUP(GroupVertices[[#This Row],[Vertex]],Vertices[],MATCH("ID",Vertices[[#Headers],[Vertex]:[Top Word Pairs in Comment by Salience]],0),FALSE)</f>
        <v>161</v>
      </c>
    </row>
    <row r="31" spans="1:3" ht="15">
      <c r="A31" s="81" t="s">
        <v>1378</v>
      </c>
      <c r="B31" s="83" t="s">
        <v>477</v>
      </c>
      <c r="C31" s="80">
        <f>VLOOKUP(GroupVertices[[#This Row],[Vertex]],Vertices[],MATCH("ID",Vertices[[#Headers],[Vertex]:[Top Word Pairs in Comment by Salience]],0),FALSE)</f>
        <v>160</v>
      </c>
    </row>
    <row r="32" spans="1:3" ht="15">
      <c r="A32" s="81" t="s">
        <v>1378</v>
      </c>
      <c r="B32" s="83" t="s">
        <v>476</v>
      </c>
      <c r="C32" s="80">
        <f>VLOOKUP(GroupVertices[[#This Row],[Vertex]],Vertices[],MATCH("ID",Vertices[[#Headers],[Vertex]:[Top Word Pairs in Comment by Salience]],0),FALSE)</f>
        <v>159</v>
      </c>
    </row>
    <row r="33" spans="1:3" ht="15">
      <c r="A33" s="81" t="s">
        <v>1378</v>
      </c>
      <c r="B33" s="83" t="s">
        <v>475</v>
      </c>
      <c r="C33" s="80">
        <f>VLOOKUP(GroupVertices[[#This Row],[Vertex]],Vertices[],MATCH("ID",Vertices[[#Headers],[Vertex]:[Top Word Pairs in Comment by Salience]],0),FALSE)</f>
        <v>158</v>
      </c>
    </row>
    <row r="34" spans="1:3" ht="15">
      <c r="A34" s="81" t="s">
        <v>1378</v>
      </c>
      <c r="B34" s="83" t="s">
        <v>474</v>
      </c>
      <c r="C34" s="80">
        <f>VLOOKUP(GroupVertices[[#This Row],[Vertex]],Vertices[],MATCH("ID",Vertices[[#Headers],[Vertex]:[Top Word Pairs in Comment by Salience]],0),FALSE)</f>
        <v>157</v>
      </c>
    </row>
    <row r="35" spans="1:3" ht="15">
      <c r="A35" s="81" t="s">
        <v>1378</v>
      </c>
      <c r="B35" s="83" t="s">
        <v>473</v>
      </c>
      <c r="C35" s="80">
        <f>VLOOKUP(GroupVertices[[#This Row],[Vertex]],Vertices[],MATCH("ID",Vertices[[#Headers],[Vertex]:[Top Word Pairs in Comment by Salience]],0),FALSE)</f>
        <v>156</v>
      </c>
    </row>
    <row r="36" spans="1:3" ht="15">
      <c r="A36" s="81" t="s">
        <v>1378</v>
      </c>
      <c r="B36" s="83" t="s">
        <v>472</v>
      </c>
      <c r="C36" s="80">
        <f>VLOOKUP(GroupVertices[[#This Row],[Vertex]],Vertices[],MATCH("ID",Vertices[[#Headers],[Vertex]:[Top Word Pairs in Comment by Salience]],0),FALSE)</f>
        <v>155</v>
      </c>
    </row>
    <row r="37" spans="1:3" ht="15">
      <c r="A37" s="81" t="s">
        <v>1378</v>
      </c>
      <c r="B37" s="83" t="s">
        <v>465</v>
      </c>
      <c r="C37" s="80">
        <f>VLOOKUP(GroupVertices[[#This Row],[Vertex]],Vertices[],MATCH("ID",Vertices[[#Headers],[Vertex]:[Top Word Pairs in Comment by Salience]],0),FALSE)</f>
        <v>148</v>
      </c>
    </row>
    <row r="38" spans="1:3" ht="15">
      <c r="A38" s="81" t="s">
        <v>1378</v>
      </c>
      <c r="B38" s="83" t="s">
        <v>464</v>
      </c>
      <c r="C38" s="80">
        <f>VLOOKUP(GroupVertices[[#This Row],[Vertex]],Vertices[],MATCH("ID",Vertices[[#Headers],[Vertex]:[Top Word Pairs in Comment by Salience]],0),FALSE)</f>
        <v>147</v>
      </c>
    </row>
    <row r="39" spans="1:3" ht="15">
      <c r="A39" s="81" t="s">
        <v>1378</v>
      </c>
      <c r="B39" s="83" t="s">
        <v>463</v>
      </c>
      <c r="C39" s="80">
        <f>VLOOKUP(GroupVertices[[#This Row],[Vertex]],Vertices[],MATCH("ID",Vertices[[#Headers],[Vertex]:[Top Word Pairs in Comment by Salience]],0),FALSE)</f>
        <v>146</v>
      </c>
    </row>
    <row r="40" spans="1:3" ht="15">
      <c r="A40" s="81" t="s">
        <v>1378</v>
      </c>
      <c r="B40" s="83" t="s">
        <v>462</v>
      </c>
      <c r="C40" s="80">
        <f>VLOOKUP(GroupVertices[[#This Row],[Vertex]],Vertices[],MATCH("ID",Vertices[[#Headers],[Vertex]:[Top Word Pairs in Comment by Salience]],0),FALSE)</f>
        <v>145</v>
      </c>
    </row>
    <row r="41" spans="1:3" ht="15">
      <c r="A41" s="81" t="s">
        <v>1378</v>
      </c>
      <c r="B41" s="83" t="s">
        <v>461</v>
      </c>
      <c r="C41" s="80">
        <f>VLOOKUP(GroupVertices[[#This Row],[Vertex]],Vertices[],MATCH("ID",Vertices[[#Headers],[Vertex]:[Top Word Pairs in Comment by Salience]],0),FALSE)</f>
        <v>144</v>
      </c>
    </row>
    <row r="42" spans="1:3" ht="15">
      <c r="A42" s="81" t="s">
        <v>1378</v>
      </c>
      <c r="B42" s="83" t="s">
        <v>460</v>
      </c>
      <c r="C42" s="80">
        <f>VLOOKUP(GroupVertices[[#This Row],[Vertex]],Vertices[],MATCH("ID",Vertices[[#Headers],[Vertex]:[Top Word Pairs in Comment by Salience]],0),FALSE)</f>
        <v>143</v>
      </c>
    </row>
    <row r="43" spans="1:3" ht="15">
      <c r="A43" s="81" t="s">
        <v>1378</v>
      </c>
      <c r="B43" s="83" t="s">
        <v>459</v>
      </c>
      <c r="C43" s="80">
        <f>VLOOKUP(GroupVertices[[#This Row],[Vertex]],Vertices[],MATCH("ID",Vertices[[#Headers],[Vertex]:[Top Word Pairs in Comment by Salience]],0),FALSE)</f>
        <v>142</v>
      </c>
    </row>
    <row r="44" spans="1:3" ht="15">
      <c r="A44" s="81" t="s">
        <v>1378</v>
      </c>
      <c r="B44" s="83" t="s">
        <v>458</v>
      </c>
      <c r="C44" s="80">
        <f>VLOOKUP(GroupVertices[[#This Row],[Vertex]],Vertices[],MATCH("ID",Vertices[[#Headers],[Vertex]:[Top Word Pairs in Comment by Salience]],0),FALSE)</f>
        <v>141</v>
      </c>
    </row>
    <row r="45" spans="1:3" ht="15">
      <c r="A45" s="81" t="s">
        <v>1378</v>
      </c>
      <c r="B45" s="83" t="s">
        <v>434</v>
      </c>
      <c r="C45" s="80">
        <f>VLOOKUP(GroupVertices[[#This Row],[Vertex]],Vertices[],MATCH("ID",Vertices[[#Headers],[Vertex]:[Top Word Pairs in Comment by Salience]],0),FALSE)</f>
        <v>115</v>
      </c>
    </row>
    <row r="46" spans="1:3" ht="15">
      <c r="A46" s="81" t="s">
        <v>1378</v>
      </c>
      <c r="B46" s="83" t="s">
        <v>433</v>
      </c>
      <c r="C46" s="80">
        <f>VLOOKUP(GroupVertices[[#This Row],[Vertex]],Vertices[],MATCH("ID",Vertices[[#Headers],[Vertex]:[Top Word Pairs in Comment by Salience]],0),FALSE)</f>
        <v>114</v>
      </c>
    </row>
    <row r="47" spans="1:3" ht="15">
      <c r="A47" s="81" t="s">
        <v>1378</v>
      </c>
      <c r="B47" s="83" t="s">
        <v>432</v>
      </c>
      <c r="C47" s="80">
        <f>VLOOKUP(GroupVertices[[#This Row],[Vertex]],Vertices[],MATCH("ID",Vertices[[#Headers],[Vertex]:[Top Word Pairs in Comment by Salience]],0),FALSE)</f>
        <v>113</v>
      </c>
    </row>
    <row r="48" spans="1:3" ht="15">
      <c r="A48" s="81" t="s">
        <v>1378</v>
      </c>
      <c r="B48" s="83" t="s">
        <v>420</v>
      </c>
      <c r="C48" s="80">
        <f>VLOOKUP(GroupVertices[[#This Row],[Vertex]],Vertices[],MATCH("ID",Vertices[[#Headers],[Vertex]:[Top Word Pairs in Comment by Salience]],0),FALSE)</f>
        <v>100</v>
      </c>
    </row>
    <row r="49" spans="1:3" ht="15">
      <c r="A49" s="81" t="s">
        <v>1378</v>
      </c>
      <c r="B49" s="83" t="s">
        <v>402</v>
      </c>
      <c r="C49" s="80">
        <f>VLOOKUP(GroupVertices[[#This Row],[Vertex]],Vertices[],MATCH("ID",Vertices[[#Headers],[Vertex]:[Top Word Pairs in Comment by Salience]],0),FALSE)</f>
        <v>79</v>
      </c>
    </row>
    <row r="50" spans="1:3" ht="15">
      <c r="A50" s="81" t="s">
        <v>1378</v>
      </c>
      <c r="B50" s="83" t="s">
        <v>401</v>
      </c>
      <c r="C50" s="80">
        <f>VLOOKUP(GroupVertices[[#This Row],[Vertex]],Vertices[],MATCH("ID",Vertices[[#Headers],[Vertex]:[Top Word Pairs in Comment by Salience]],0),FALSE)</f>
        <v>78</v>
      </c>
    </row>
    <row r="51" spans="1:3" ht="15">
      <c r="A51" s="81" t="s">
        <v>1378</v>
      </c>
      <c r="B51" s="83" t="s">
        <v>400</v>
      </c>
      <c r="C51" s="80">
        <f>VLOOKUP(GroupVertices[[#This Row],[Vertex]],Vertices[],MATCH("ID",Vertices[[#Headers],[Vertex]:[Top Word Pairs in Comment by Salience]],0),FALSE)</f>
        <v>77</v>
      </c>
    </row>
    <row r="52" spans="1:3" ht="15">
      <c r="A52" s="81" t="s">
        <v>1378</v>
      </c>
      <c r="B52" s="83" t="s">
        <v>399</v>
      </c>
      <c r="C52" s="80">
        <f>VLOOKUP(GroupVertices[[#This Row],[Vertex]],Vertices[],MATCH("ID",Vertices[[#Headers],[Vertex]:[Top Word Pairs in Comment by Salience]],0),FALSE)</f>
        <v>76</v>
      </c>
    </row>
    <row r="53" spans="1:3" ht="15">
      <c r="A53" s="81" t="s">
        <v>1378</v>
      </c>
      <c r="B53" s="83" t="s">
        <v>396</v>
      </c>
      <c r="C53" s="80">
        <f>VLOOKUP(GroupVertices[[#This Row],[Vertex]],Vertices[],MATCH("ID",Vertices[[#Headers],[Vertex]:[Top Word Pairs in Comment by Salience]],0),FALSE)</f>
        <v>73</v>
      </c>
    </row>
    <row r="54" spans="1:3" ht="15">
      <c r="A54" s="81" t="s">
        <v>1378</v>
      </c>
      <c r="B54" s="83" t="s">
        <v>395</v>
      </c>
      <c r="C54" s="80">
        <f>VLOOKUP(GroupVertices[[#This Row],[Vertex]],Vertices[],MATCH("ID",Vertices[[#Headers],[Vertex]:[Top Word Pairs in Comment by Salience]],0),FALSE)</f>
        <v>72</v>
      </c>
    </row>
    <row r="55" spans="1:3" ht="15">
      <c r="A55" s="81" t="s">
        <v>1378</v>
      </c>
      <c r="B55" s="83" t="s">
        <v>394</v>
      </c>
      <c r="C55" s="80">
        <f>VLOOKUP(GroupVertices[[#This Row],[Vertex]],Vertices[],MATCH("ID",Vertices[[#Headers],[Vertex]:[Top Word Pairs in Comment by Salience]],0),FALSE)</f>
        <v>71</v>
      </c>
    </row>
    <row r="56" spans="1:3" ht="15">
      <c r="A56" s="81" t="s">
        <v>1378</v>
      </c>
      <c r="B56" s="83" t="s">
        <v>379</v>
      </c>
      <c r="C56" s="80">
        <f>VLOOKUP(GroupVertices[[#This Row],[Vertex]],Vertices[],MATCH("ID",Vertices[[#Headers],[Vertex]:[Top Word Pairs in Comment by Salience]],0),FALSE)</f>
        <v>51</v>
      </c>
    </row>
    <row r="57" spans="1:3" ht="15">
      <c r="A57" s="81" t="s">
        <v>1378</v>
      </c>
      <c r="B57" s="83" t="s">
        <v>378</v>
      </c>
      <c r="C57" s="80">
        <f>VLOOKUP(GroupVertices[[#This Row],[Vertex]],Vertices[],MATCH("ID",Vertices[[#Headers],[Vertex]:[Top Word Pairs in Comment by Salience]],0),FALSE)</f>
        <v>50</v>
      </c>
    </row>
    <row r="58" spans="1:3" ht="15">
      <c r="A58" s="81" t="s">
        <v>1378</v>
      </c>
      <c r="B58" s="83" t="s">
        <v>377</v>
      </c>
      <c r="C58" s="80">
        <f>VLOOKUP(GroupVertices[[#This Row],[Vertex]],Vertices[],MATCH("ID",Vertices[[#Headers],[Vertex]:[Top Word Pairs in Comment by Salience]],0),FALSE)</f>
        <v>49</v>
      </c>
    </row>
    <row r="59" spans="1:3" ht="15">
      <c r="A59" s="81" t="s">
        <v>1378</v>
      </c>
      <c r="B59" s="83" t="s">
        <v>376</v>
      </c>
      <c r="C59" s="80">
        <f>VLOOKUP(GroupVertices[[#This Row],[Vertex]],Vertices[],MATCH("ID",Vertices[[#Headers],[Vertex]:[Top Word Pairs in Comment by Salience]],0),FALSE)</f>
        <v>48</v>
      </c>
    </row>
    <row r="60" spans="1:3" ht="15">
      <c r="A60" s="81" t="s">
        <v>1378</v>
      </c>
      <c r="B60" s="83" t="s">
        <v>372</v>
      </c>
      <c r="C60" s="80">
        <f>VLOOKUP(GroupVertices[[#This Row],[Vertex]],Vertices[],MATCH("ID",Vertices[[#Headers],[Vertex]:[Top Word Pairs in Comment by Salience]],0),FALSE)</f>
        <v>43</v>
      </c>
    </row>
    <row r="61" spans="1:3" ht="15">
      <c r="A61" s="81" t="s">
        <v>1378</v>
      </c>
      <c r="B61" s="83" t="s">
        <v>370</v>
      </c>
      <c r="C61" s="80">
        <f>VLOOKUP(GroupVertices[[#This Row],[Vertex]],Vertices[],MATCH("ID",Vertices[[#Headers],[Vertex]:[Top Word Pairs in Comment by Salience]],0),FALSE)</f>
        <v>41</v>
      </c>
    </row>
    <row r="62" spans="1:3" ht="15">
      <c r="A62" s="81" t="s">
        <v>1378</v>
      </c>
      <c r="B62" s="83" t="s">
        <v>368</v>
      </c>
      <c r="C62" s="80">
        <f>VLOOKUP(GroupVertices[[#This Row],[Vertex]],Vertices[],MATCH("ID",Vertices[[#Headers],[Vertex]:[Top Word Pairs in Comment by Salience]],0),FALSE)</f>
        <v>40</v>
      </c>
    </row>
    <row r="63" spans="1:3" ht="15">
      <c r="A63" s="81" t="s">
        <v>1378</v>
      </c>
      <c r="B63" s="83" t="s">
        <v>365</v>
      </c>
      <c r="C63" s="80">
        <f>VLOOKUP(GroupVertices[[#This Row],[Vertex]],Vertices[],MATCH("ID",Vertices[[#Headers],[Vertex]:[Top Word Pairs in Comment by Salience]],0),FALSE)</f>
        <v>36</v>
      </c>
    </row>
    <row r="64" spans="1:3" ht="15">
      <c r="A64" s="81" t="s">
        <v>1379</v>
      </c>
      <c r="B64" s="83" t="s">
        <v>519</v>
      </c>
      <c r="C64" s="80">
        <f>VLOOKUP(GroupVertices[[#This Row],[Vertex]],Vertices[],MATCH("ID",Vertices[[#Headers],[Vertex]:[Top Word Pairs in Comment by Salience]],0),FALSE)</f>
        <v>204</v>
      </c>
    </row>
    <row r="65" spans="1:3" ht="15">
      <c r="A65" s="81" t="s">
        <v>1379</v>
      </c>
      <c r="B65" s="83" t="s">
        <v>520</v>
      </c>
      <c r="C65" s="80">
        <f>VLOOKUP(GroupVertices[[#This Row],[Vertex]],Vertices[],MATCH("ID",Vertices[[#Headers],[Vertex]:[Top Word Pairs in Comment by Salience]],0),FALSE)</f>
        <v>205</v>
      </c>
    </row>
    <row r="66" spans="1:3" ht="15">
      <c r="A66" s="81" t="s">
        <v>1379</v>
      </c>
      <c r="B66" s="83" t="s">
        <v>522</v>
      </c>
      <c r="C66" s="80">
        <f>VLOOKUP(GroupVertices[[#This Row],[Vertex]],Vertices[],MATCH("ID",Vertices[[#Headers],[Vertex]:[Top Word Pairs in Comment by Salience]],0),FALSE)</f>
        <v>206</v>
      </c>
    </row>
    <row r="67" spans="1:3" ht="15">
      <c r="A67" s="81" t="s">
        <v>1379</v>
      </c>
      <c r="B67" s="83" t="s">
        <v>523</v>
      </c>
      <c r="C67" s="80">
        <f>VLOOKUP(GroupVertices[[#This Row],[Vertex]],Vertices[],MATCH("ID",Vertices[[#Headers],[Vertex]:[Top Word Pairs in Comment by Salience]],0),FALSE)</f>
        <v>207</v>
      </c>
    </row>
    <row r="68" spans="1:3" ht="15">
      <c r="A68" s="81" t="s">
        <v>1379</v>
      </c>
      <c r="B68" s="83" t="s">
        <v>524</v>
      </c>
      <c r="C68" s="80">
        <f>VLOOKUP(GroupVertices[[#This Row],[Vertex]],Vertices[],MATCH("ID",Vertices[[#Headers],[Vertex]:[Top Word Pairs in Comment by Salience]],0),FALSE)</f>
        <v>208</v>
      </c>
    </row>
    <row r="69" spans="1:3" ht="15">
      <c r="A69" s="81" t="s">
        <v>1379</v>
      </c>
      <c r="B69" s="83" t="s">
        <v>527</v>
      </c>
      <c r="C69" s="80">
        <f>VLOOKUP(GroupVertices[[#This Row],[Vertex]],Vertices[],MATCH("ID",Vertices[[#Headers],[Vertex]:[Top Word Pairs in Comment by Salience]],0),FALSE)</f>
        <v>209</v>
      </c>
    </row>
    <row r="70" spans="1:3" ht="15">
      <c r="A70" s="81" t="s">
        <v>1379</v>
      </c>
      <c r="B70" s="83" t="s">
        <v>528</v>
      </c>
      <c r="C70" s="80">
        <f>VLOOKUP(GroupVertices[[#This Row],[Vertex]],Vertices[],MATCH("ID",Vertices[[#Headers],[Vertex]:[Top Word Pairs in Comment by Salience]],0),FALSE)</f>
        <v>210</v>
      </c>
    </row>
    <row r="71" spans="1:3" ht="15">
      <c r="A71" s="81" t="s">
        <v>1379</v>
      </c>
      <c r="B71" s="83" t="s">
        <v>530</v>
      </c>
      <c r="C71" s="80">
        <f>VLOOKUP(GroupVertices[[#This Row],[Vertex]],Vertices[],MATCH("ID",Vertices[[#Headers],[Vertex]:[Top Word Pairs in Comment by Salience]],0),FALSE)</f>
        <v>211</v>
      </c>
    </row>
    <row r="72" spans="1:3" ht="15">
      <c r="A72" s="81" t="s">
        <v>1379</v>
      </c>
      <c r="B72" s="83" t="s">
        <v>532</v>
      </c>
      <c r="C72" s="80">
        <f>VLOOKUP(GroupVertices[[#This Row],[Vertex]],Vertices[],MATCH("ID",Vertices[[#Headers],[Vertex]:[Top Word Pairs in Comment by Salience]],0),FALSE)</f>
        <v>212</v>
      </c>
    </row>
    <row r="73" spans="1:3" ht="15">
      <c r="A73" s="81" t="s">
        <v>1379</v>
      </c>
      <c r="B73" s="83" t="s">
        <v>533</v>
      </c>
      <c r="C73" s="80">
        <f>VLOOKUP(GroupVertices[[#This Row],[Vertex]],Vertices[],MATCH("ID",Vertices[[#Headers],[Vertex]:[Top Word Pairs in Comment by Salience]],0),FALSE)</f>
        <v>213</v>
      </c>
    </row>
    <row r="74" spans="1:3" ht="15">
      <c r="A74" s="81" t="s">
        <v>1379</v>
      </c>
      <c r="B74" s="83" t="s">
        <v>534</v>
      </c>
      <c r="C74" s="80">
        <f>VLOOKUP(GroupVertices[[#This Row],[Vertex]],Vertices[],MATCH("ID",Vertices[[#Headers],[Vertex]:[Top Word Pairs in Comment by Salience]],0),FALSE)</f>
        <v>214</v>
      </c>
    </row>
    <row r="75" spans="1:3" ht="15">
      <c r="A75" s="81" t="s">
        <v>1379</v>
      </c>
      <c r="B75" s="83" t="s">
        <v>535</v>
      </c>
      <c r="C75" s="80">
        <f>VLOOKUP(GroupVertices[[#This Row],[Vertex]],Vertices[],MATCH("ID",Vertices[[#Headers],[Vertex]:[Top Word Pairs in Comment by Salience]],0),FALSE)</f>
        <v>215</v>
      </c>
    </row>
    <row r="76" spans="1:3" ht="15">
      <c r="A76" s="81" t="s">
        <v>1379</v>
      </c>
      <c r="B76" s="83" t="s">
        <v>537</v>
      </c>
      <c r="C76" s="80">
        <f>VLOOKUP(GroupVertices[[#This Row],[Vertex]],Vertices[],MATCH("ID",Vertices[[#Headers],[Vertex]:[Top Word Pairs in Comment by Salience]],0),FALSE)</f>
        <v>216</v>
      </c>
    </row>
    <row r="77" spans="1:3" ht="15">
      <c r="A77" s="81" t="s">
        <v>1379</v>
      </c>
      <c r="B77" s="83" t="s">
        <v>538</v>
      </c>
      <c r="C77" s="80">
        <f>VLOOKUP(GroupVertices[[#This Row],[Vertex]],Vertices[],MATCH("ID",Vertices[[#Headers],[Vertex]:[Top Word Pairs in Comment by Salience]],0),FALSE)</f>
        <v>217</v>
      </c>
    </row>
    <row r="78" spans="1:3" ht="15">
      <c r="A78" s="81" t="s">
        <v>1379</v>
      </c>
      <c r="B78" s="83" t="s">
        <v>540</v>
      </c>
      <c r="C78" s="80">
        <f>VLOOKUP(GroupVertices[[#This Row],[Vertex]],Vertices[],MATCH("ID",Vertices[[#Headers],[Vertex]:[Top Word Pairs in Comment by Salience]],0),FALSE)</f>
        <v>219</v>
      </c>
    </row>
    <row r="79" spans="1:3" ht="15">
      <c r="A79" s="81" t="s">
        <v>1379</v>
      </c>
      <c r="B79" s="83" t="s">
        <v>541</v>
      </c>
      <c r="C79" s="80">
        <f>VLOOKUP(GroupVertices[[#This Row],[Vertex]],Vertices[],MATCH("ID",Vertices[[#Headers],[Vertex]:[Top Word Pairs in Comment by Salience]],0),FALSE)</f>
        <v>220</v>
      </c>
    </row>
    <row r="80" spans="1:3" ht="15">
      <c r="A80" s="81" t="s">
        <v>1379</v>
      </c>
      <c r="B80" s="83" t="s">
        <v>545</v>
      </c>
      <c r="C80" s="80">
        <f>VLOOKUP(GroupVertices[[#This Row],[Vertex]],Vertices[],MATCH("ID",Vertices[[#Headers],[Vertex]:[Top Word Pairs in Comment by Salience]],0),FALSE)</f>
        <v>221</v>
      </c>
    </row>
    <row r="81" spans="1:3" ht="15">
      <c r="A81" s="81" t="s">
        <v>1379</v>
      </c>
      <c r="B81" s="83" t="s">
        <v>547</v>
      </c>
      <c r="C81" s="80">
        <f>VLOOKUP(GroupVertices[[#This Row],[Vertex]],Vertices[],MATCH("ID",Vertices[[#Headers],[Vertex]:[Top Word Pairs in Comment by Salience]],0),FALSE)</f>
        <v>222</v>
      </c>
    </row>
    <row r="82" spans="1:3" ht="15">
      <c r="A82" s="81" t="s">
        <v>1379</v>
      </c>
      <c r="B82" s="83" t="s">
        <v>549</v>
      </c>
      <c r="C82" s="80">
        <f>VLOOKUP(GroupVertices[[#This Row],[Vertex]],Vertices[],MATCH("ID",Vertices[[#Headers],[Vertex]:[Top Word Pairs in Comment by Salience]],0),FALSE)</f>
        <v>223</v>
      </c>
    </row>
    <row r="83" spans="1:3" ht="15">
      <c r="A83" s="81" t="s">
        <v>1379</v>
      </c>
      <c r="B83" s="83" t="s">
        <v>554</v>
      </c>
      <c r="C83" s="80">
        <f>VLOOKUP(GroupVertices[[#This Row],[Vertex]],Vertices[],MATCH("ID",Vertices[[#Headers],[Vertex]:[Top Word Pairs in Comment by Salience]],0),FALSE)</f>
        <v>224</v>
      </c>
    </row>
    <row r="84" spans="1:3" ht="15">
      <c r="A84" s="81" t="s">
        <v>1379</v>
      </c>
      <c r="B84" s="83" t="s">
        <v>556</v>
      </c>
      <c r="C84" s="80">
        <f>VLOOKUP(GroupVertices[[#This Row],[Vertex]],Vertices[],MATCH("ID",Vertices[[#Headers],[Vertex]:[Top Word Pairs in Comment by Salience]],0),FALSE)</f>
        <v>225</v>
      </c>
    </row>
    <row r="85" spans="1:3" ht="15">
      <c r="A85" s="81" t="s">
        <v>1379</v>
      </c>
      <c r="B85" s="83" t="s">
        <v>557</v>
      </c>
      <c r="C85" s="80">
        <f>VLOOKUP(GroupVertices[[#This Row],[Vertex]],Vertices[],MATCH("ID",Vertices[[#Headers],[Vertex]:[Top Word Pairs in Comment by Salience]],0),FALSE)</f>
        <v>226</v>
      </c>
    </row>
    <row r="86" spans="1:3" ht="15">
      <c r="A86" s="81" t="s">
        <v>1380</v>
      </c>
      <c r="B86" s="83" t="s">
        <v>518</v>
      </c>
      <c r="C86" s="80">
        <f>VLOOKUP(GroupVertices[[#This Row],[Vertex]],Vertices[],MATCH("ID",Vertices[[#Headers],[Vertex]:[Top Word Pairs in Comment by Salience]],0),FALSE)</f>
        <v>203</v>
      </c>
    </row>
    <row r="87" spans="1:3" ht="15">
      <c r="A87" s="81" t="s">
        <v>1380</v>
      </c>
      <c r="B87" s="83" t="s">
        <v>561</v>
      </c>
      <c r="C87" s="80">
        <f>VLOOKUP(GroupVertices[[#This Row],[Vertex]],Vertices[],MATCH("ID",Vertices[[#Headers],[Vertex]:[Top Word Pairs in Comment by Salience]],0),FALSE)</f>
        <v>88</v>
      </c>
    </row>
    <row r="88" spans="1:3" ht="15">
      <c r="A88" s="81" t="s">
        <v>1380</v>
      </c>
      <c r="B88" s="83" t="s">
        <v>516</v>
      </c>
      <c r="C88" s="80">
        <f>VLOOKUP(GroupVertices[[#This Row],[Vertex]],Vertices[],MATCH("ID",Vertices[[#Headers],[Vertex]:[Top Word Pairs in Comment by Salience]],0),FALSE)</f>
        <v>200</v>
      </c>
    </row>
    <row r="89" spans="1:3" ht="15">
      <c r="A89" s="81" t="s">
        <v>1380</v>
      </c>
      <c r="B89" s="83" t="s">
        <v>515</v>
      </c>
      <c r="C89" s="80">
        <f>VLOOKUP(GroupVertices[[#This Row],[Vertex]],Vertices[],MATCH("ID",Vertices[[#Headers],[Vertex]:[Top Word Pairs in Comment by Salience]],0),FALSE)</f>
        <v>199</v>
      </c>
    </row>
    <row r="90" spans="1:3" ht="15">
      <c r="A90" s="81" t="s">
        <v>1380</v>
      </c>
      <c r="B90" s="83" t="s">
        <v>514</v>
      </c>
      <c r="C90" s="80">
        <f>VLOOKUP(GroupVertices[[#This Row],[Vertex]],Vertices[],MATCH("ID",Vertices[[#Headers],[Vertex]:[Top Word Pairs in Comment by Salience]],0),FALSE)</f>
        <v>198</v>
      </c>
    </row>
    <row r="91" spans="1:3" ht="15">
      <c r="A91" s="81" t="s">
        <v>1380</v>
      </c>
      <c r="B91" s="83" t="s">
        <v>513</v>
      </c>
      <c r="C91" s="80">
        <f>VLOOKUP(GroupVertices[[#This Row],[Vertex]],Vertices[],MATCH("ID",Vertices[[#Headers],[Vertex]:[Top Word Pairs in Comment by Salience]],0),FALSE)</f>
        <v>197</v>
      </c>
    </row>
    <row r="92" spans="1:3" ht="15">
      <c r="A92" s="81" t="s">
        <v>1380</v>
      </c>
      <c r="B92" s="83" t="s">
        <v>512</v>
      </c>
      <c r="C92" s="80">
        <f>VLOOKUP(GroupVertices[[#This Row],[Vertex]],Vertices[],MATCH("ID",Vertices[[#Headers],[Vertex]:[Top Word Pairs in Comment by Salience]],0),FALSE)</f>
        <v>196</v>
      </c>
    </row>
    <row r="93" spans="1:3" ht="15">
      <c r="A93" s="81" t="s">
        <v>1380</v>
      </c>
      <c r="B93" s="83" t="s">
        <v>553</v>
      </c>
      <c r="C93" s="80">
        <f>VLOOKUP(GroupVertices[[#This Row],[Vertex]],Vertices[],MATCH("ID",Vertices[[#Headers],[Vertex]:[Top Word Pairs in Comment by Salience]],0),FALSE)</f>
        <v>167</v>
      </c>
    </row>
    <row r="94" spans="1:3" ht="15">
      <c r="A94" s="81" t="s">
        <v>1380</v>
      </c>
      <c r="B94" s="83" t="s">
        <v>511</v>
      </c>
      <c r="C94" s="80">
        <f>VLOOKUP(GroupVertices[[#This Row],[Vertex]],Vertices[],MATCH("ID",Vertices[[#Headers],[Vertex]:[Top Word Pairs in Comment by Salience]],0),FALSE)</f>
        <v>195</v>
      </c>
    </row>
    <row r="95" spans="1:3" ht="15">
      <c r="A95" s="81" t="s">
        <v>1380</v>
      </c>
      <c r="B95" s="83" t="s">
        <v>510</v>
      </c>
      <c r="C95" s="80">
        <f>VLOOKUP(GroupVertices[[#This Row],[Vertex]],Vertices[],MATCH("ID",Vertices[[#Headers],[Vertex]:[Top Word Pairs in Comment by Salience]],0),FALSE)</f>
        <v>194</v>
      </c>
    </row>
    <row r="96" spans="1:3" ht="15">
      <c r="A96" s="81" t="s">
        <v>1380</v>
      </c>
      <c r="B96" s="83" t="s">
        <v>508</v>
      </c>
      <c r="C96" s="80">
        <f>VLOOKUP(GroupVertices[[#This Row],[Vertex]],Vertices[],MATCH("ID",Vertices[[#Headers],[Vertex]:[Top Word Pairs in Comment by Salience]],0),FALSE)</f>
        <v>192</v>
      </c>
    </row>
    <row r="97" spans="1:3" ht="15">
      <c r="A97" s="81" t="s">
        <v>1380</v>
      </c>
      <c r="B97" s="83" t="s">
        <v>483</v>
      </c>
      <c r="C97" s="80">
        <f>VLOOKUP(GroupVertices[[#This Row],[Vertex]],Vertices[],MATCH("ID",Vertices[[#Headers],[Vertex]:[Top Word Pairs in Comment by Salience]],0),FALSE)</f>
        <v>166</v>
      </c>
    </row>
    <row r="98" spans="1:3" ht="15">
      <c r="A98" s="81" t="s">
        <v>1380</v>
      </c>
      <c r="B98" s="83" t="s">
        <v>436</v>
      </c>
      <c r="C98" s="80">
        <f>VLOOKUP(GroupVertices[[#This Row],[Vertex]],Vertices[],MATCH("ID",Vertices[[#Headers],[Vertex]:[Top Word Pairs in Comment by Salience]],0),FALSE)</f>
        <v>117</v>
      </c>
    </row>
    <row r="99" spans="1:3" ht="15">
      <c r="A99" s="81" t="s">
        <v>1380</v>
      </c>
      <c r="B99" s="83" t="s">
        <v>435</v>
      </c>
      <c r="C99" s="80">
        <f>VLOOKUP(GroupVertices[[#This Row],[Vertex]],Vertices[],MATCH("ID",Vertices[[#Headers],[Vertex]:[Top Word Pairs in Comment by Salience]],0),FALSE)</f>
        <v>116</v>
      </c>
    </row>
    <row r="100" spans="1:3" ht="15">
      <c r="A100" s="81" t="s">
        <v>1380</v>
      </c>
      <c r="B100" s="83" t="s">
        <v>411</v>
      </c>
      <c r="C100" s="80">
        <f>VLOOKUP(GroupVertices[[#This Row],[Vertex]],Vertices[],MATCH("ID",Vertices[[#Headers],[Vertex]:[Top Word Pairs in Comment by Salience]],0),FALSE)</f>
        <v>90</v>
      </c>
    </row>
    <row r="101" spans="1:3" ht="15">
      <c r="A101" s="81" t="s">
        <v>1380</v>
      </c>
      <c r="B101" s="83" t="s">
        <v>410</v>
      </c>
      <c r="C101" s="80">
        <f>VLOOKUP(GroupVertices[[#This Row],[Vertex]],Vertices[],MATCH("ID",Vertices[[#Headers],[Vertex]:[Top Word Pairs in Comment by Salience]],0),FALSE)</f>
        <v>89</v>
      </c>
    </row>
    <row r="102" spans="1:3" ht="15">
      <c r="A102" s="81" t="s">
        <v>1380</v>
      </c>
      <c r="B102" s="83" t="s">
        <v>409</v>
      </c>
      <c r="C102" s="80">
        <f>VLOOKUP(GroupVertices[[#This Row],[Vertex]],Vertices[],MATCH("ID",Vertices[[#Headers],[Vertex]:[Top Word Pairs in Comment by Salience]],0),FALSE)</f>
        <v>87</v>
      </c>
    </row>
    <row r="103" spans="1:3" ht="15">
      <c r="A103" s="81" t="s">
        <v>1381</v>
      </c>
      <c r="B103" s="83" t="s">
        <v>558</v>
      </c>
      <c r="C103" s="80">
        <f>VLOOKUP(GroupVertices[[#This Row],[Vertex]],Vertices[],MATCH("ID",Vertices[[#Headers],[Vertex]:[Top Word Pairs in Comment by Salience]],0),FALSE)</f>
        <v>202</v>
      </c>
    </row>
    <row r="104" spans="1:3" ht="15">
      <c r="A104" s="81" t="s">
        <v>1381</v>
      </c>
      <c r="B104" s="83" t="s">
        <v>517</v>
      </c>
      <c r="C104" s="80">
        <f>VLOOKUP(GroupVertices[[#This Row],[Vertex]],Vertices[],MATCH("ID",Vertices[[#Headers],[Vertex]:[Top Word Pairs in Comment by Salience]],0),FALSE)</f>
        <v>201</v>
      </c>
    </row>
    <row r="105" spans="1:3" ht="15">
      <c r="A105" s="81" t="s">
        <v>1381</v>
      </c>
      <c r="B105" s="83" t="s">
        <v>560</v>
      </c>
      <c r="C105" s="80">
        <f>VLOOKUP(GroupVertices[[#This Row],[Vertex]],Vertices[],MATCH("ID",Vertices[[#Headers],[Vertex]:[Top Word Pairs in Comment by Salience]],0),FALSE)</f>
        <v>119</v>
      </c>
    </row>
    <row r="106" spans="1:3" ht="15">
      <c r="A106" s="81" t="s">
        <v>1381</v>
      </c>
      <c r="B106" s="83" t="s">
        <v>468</v>
      </c>
      <c r="C106" s="80">
        <f>VLOOKUP(GroupVertices[[#This Row],[Vertex]],Vertices[],MATCH("ID",Vertices[[#Headers],[Vertex]:[Top Word Pairs in Comment by Salience]],0),FALSE)</f>
        <v>151</v>
      </c>
    </row>
    <row r="107" spans="1:3" ht="15">
      <c r="A107" s="81" t="s">
        <v>1381</v>
      </c>
      <c r="B107" s="83" t="s">
        <v>555</v>
      </c>
      <c r="C107" s="80">
        <f>VLOOKUP(GroupVertices[[#This Row],[Vertex]],Vertices[],MATCH("ID",Vertices[[#Headers],[Vertex]:[Top Word Pairs in Comment by Salience]],0),FALSE)</f>
        <v>121</v>
      </c>
    </row>
    <row r="108" spans="1:3" ht="15">
      <c r="A108" s="81" t="s">
        <v>1381</v>
      </c>
      <c r="B108" s="83" t="s">
        <v>351</v>
      </c>
      <c r="C108" s="80">
        <f>VLOOKUP(GroupVertices[[#This Row],[Vertex]],Vertices[],MATCH("ID",Vertices[[#Headers],[Vertex]:[Top Word Pairs in Comment by Salience]],0),FALSE)</f>
        <v>22</v>
      </c>
    </row>
    <row r="109" spans="1:3" ht="15">
      <c r="A109" s="81" t="s">
        <v>1381</v>
      </c>
      <c r="B109" s="83" t="s">
        <v>471</v>
      </c>
      <c r="C109" s="80">
        <f>VLOOKUP(GroupVertices[[#This Row],[Vertex]],Vertices[],MATCH("ID",Vertices[[#Headers],[Vertex]:[Top Word Pairs in Comment by Salience]],0),FALSE)</f>
        <v>154</v>
      </c>
    </row>
    <row r="110" spans="1:3" ht="15">
      <c r="A110" s="81" t="s">
        <v>1381</v>
      </c>
      <c r="B110" s="83" t="s">
        <v>470</v>
      </c>
      <c r="C110" s="80">
        <f>VLOOKUP(GroupVertices[[#This Row],[Vertex]],Vertices[],MATCH("ID",Vertices[[#Headers],[Vertex]:[Top Word Pairs in Comment by Salience]],0),FALSE)</f>
        <v>153</v>
      </c>
    </row>
    <row r="111" spans="1:3" ht="15">
      <c r="A111" s="81" t="s">
        <v>1381</v>
      </c>
      <c r="B111" s="83" t="s">
        <v>469</v>
      </c>
      <c r="C111" s="80">
        <f>VLOOKUP(GroupVertices[[#This Row],[Vertex]],Vertices[],MATCH("ID",Vertices[[#Headers],[Vertex]:[Top Word Pairs in Comment by Salience]],0),FALSE)</f>
        <v>152</v>
      </c>
    </row>
    <row r="112" spans="1:3" ht="15">
      <c r="A112" s="81" t="s">
        <v>1381</v>
      </c>
      <c r="B112" s="83" t="s">
        <v>467</v>
      </c>
      <c r="C112" s="80">
        <f>VLOOKUP(GroupVertices[[#This Row],[Vertex]],Vertices[],MATCH("ID",Vertices[[#Headers],[Vertex]:[Top Word Pairs in Comment by Salience]],0),FALSE)</f>
        <v>150</v>
      </c>
    </row>
    <row r="113" spans="1:3" ht="15">
      <c r="A113" s="81" t="s">
        <v>1381</v>
      </c>
      <c r="B113" s="83" t="s">
        <v>466</v>
      </c>
      <c r="C113" s="80">
        <f>VLOOKUP(GroupVertices[[#This Row],[Vertex]],Vertices[],MATCH("ID",Vertices[[#Headers],[Vertex]:[Top Word Pairs in Comment by Salience]],0),FALSE)</f>
        <v>149</v>
      </c>
    </row>
    <row r="114" spans="1:3" ht="15">
      <c r="A114" s="81" t="s">
        <v>1381</v>
      </c>
      <c r="B114" s="83" t="s">
        <v>454</v>
      </c>
      <c r="C114" s="80">
        <f>VLOOKUP(GroupVertices[[#This Row],[Vertex]],Vertices[],MATCH("ID",Vertices[[#Headers],[Vertex]:[Top Word Pairs in Comment by Salience]],0),FALSE)</f>
        <v>136</v>
      </c>
    </row>
    <row r="115" spans="1:3" ht="15">
      <c r="A115" s="81" t="s">
        <v>1381</v>
      </c>
      <c r="B115" s="83" t="s">
        <v>453</v>
      </c>
      <c r="C115" s="80">
        <f>VLOOKUP(GroupVertices[[#This Row],[Vertex]],Vertices[],MATCH("ID",Vertices[[#Headers],[Vertex]:[Top Word Pairs in Comment by Salience]],0),FALSE)</f>
        <v>135</v>
      </c>
    </row>
    <row r="116" spans="1:3" ht="15">
      <c r="A116" s="81" t="s">
        <v>1381</v>
      </c>
      <c r="B116" s="83" t="s">
        <v>452</v>
      </c>
      <c r="C116" s="80">
        <f>VLOOKUP(GroupVertices[[#This Row],[Vertex]],Vertices[],MATCH("ID",Vertices[[#Headers],[Vertex]:[Top Word Pairs in Comment by Salience]],0),FALSE)</f>
        <v>134</v>
      </c>
    </row>
    <row r="117" spans="1:3" ht="15">
      <c r="A117" s="81" t="s">
        <v>1381</v>
      </c>
      <c r="B117" s="83" t="s">
        <v>438</v>
      </c>
      <c r="C117" s="80">
        <f>VLOOKUP(GroupVertices[[#This Row],[Vertex]],Vertices[],MATCH("ID",Vertices[[#Headers],[Vertex]:[Top Word Pairs in Comment by Salience]],0),FALSE)</f>
        <v>120</v>
      </c>
    </row>
    <row r="118" spans="1:3" ht="15">
      <c r="A118" s="81" t="s">
        <v>1381</v>
      </c>
      <c r="B118" s="83" t="s">
        <v>437</v>
      </c>
      <c r="C118" s="80">
        <f>VLOOKUP(GroupVertices[[#This Row],[Vertex]],Vertices[],MATCH("ID",Vertices[[#Headers],[Vertex]:[Top Word Pairs in Comment by Salience]],0),FALSE)</f>
        <v>118</v>
      </c>
    </row>
    <row r="119" spans="1:3" ht="15">
      <c r="A119" s="81" t="s">
        <v>1381</v>
      </c>
      <c r="B119" s="83" t="s">
        <v>352</v>
      </c>
      <c r="C119" s="80">
        <f>VLOOKUP(GroupVertices[[#This Row],[Vertex]],Vertices[],MATCH("ID",Vertices[[#Headers],[Vertex]:[Top Word Pairs in Comment by Salience]],0),FALSE)</f>
        <v>23</v>
      </c>
    </row>
    <row r="120" spans="1:3" ht="15">
      <c r="A120" s="81" t="s">
        <v>1382</v>
      </c>
      <c r="B120" s="83" t="s">
        <v>444</v>
      </c>
      <c r="C120" s="80">
        <f>VLOOKUP(GroupVertices[[#This Row],[Vertex]],Vertices[],MATCH("ID",Vertices[[#Headers],[Vertex]:[Top Word Pairs in Comment by Salience]],0),FALSE)</f>
        <v>127</v>
      </c>
    </row>
    <row r="121" spans="1:3" ht="15">
      <c r="A121" s="81" t="s">
        <v>1382</v>
      </c>
      <c r="B121" s="83" t="s">
        <v>441</v>
      </c>
      <c r="C121" s="80">
        <f>VLOOKUP(GroupVertices[[#This Row],[Vertex]],Vertices[],MATCH("ID",Vertices[[#Headers],[Vertex]:[Top Word Pairs in Comment by Salience]],0),FALSE)</f>
        <v>124</v>
      </c>
    </row>
    <row r="122" spans="1:3" ht="15">
      <c r="A122" s="81" t="s">
        <v>1382</v>
      </c>
      <c r="B122" s="83" t="s">
        <v>551</v>
      </c>
      <c r="C122" s="80">
        <f>VLOOKUP(GroupVertices[[#This Row],[Vertex]],Vertices[],MATCH("ID",Vertices[[#Headers],[Vertex]:[Top Word Pairs in Comment by Salience]],0),FALSE)</f>
        <v>93</v>
      </c>
    </row>
    <row r="123" spans="1:3" ht="15">
      <c r="A123" s="81" t="s">
        <v>1382</v>
      </c>
      <c r="B123" s="83" t="s">
        <v>443</v>
      </c>
      <c r="C123" s="80">
        <f>VLOOKUP(GroupVertices[[#This Row],[Vertex]],Vertices[],MATCH("ID",Vertices[[#Headers],[Vertex]:[Top Word Pairs in Comment by Salience]],0),FALSE)</f>
        <v>126</v>
      </c>
    </row>
    <row r="124" spans="1:3" ht="15">
      <c r="A124" s="81" t="s">
        <v>1382</v>
      </c>
      <c r="B124" s="83" t="s">
        <v>442</v>
      </c>
      <c r="C124" s="80">
        <f>VLOOKUP(GroupVertices[[#This Row],[Vertex]],Vertices[],MATCH("ID",Vertices[[#Headers],[Vertex]:[Top Word Pairs in Comment by Salience]],0),FALSE)</f>
        <v>125</v>
      </c>
    </row>
    <row r="125" spans="1:3" ht="15">
      <c r="A125" s="81" t="s">
        <v>1382</v>
      </c>
      <c r="B125" s="83" t="s">
        <v>440</v>
      </c>
      <c r="C125" s="80">
        <f>VLOOKUP(GroupVertices[[#This Row],[Vertex]],Vertices[],MATCH("ID",Vertices[[#Headers],[Vertex]:[Top Word Pairs in Comment by Salience]],0),FALSE)</f>
        <v>123</v>
      </c>
    </row>
    <row r="126" spans="1:3" ht="15">
      <c r="A126" s="81" t="s">
        <v>1382</v>
      </c>
      <c r="B126" s="83" t="s">
        <v>439</v>
      </c>
      <c r="C126" s="80">
        <f>VLOOKUP(GroupVertices[[#This Row],[Vertex]],Vertices[],MATCH("ID",Vertices[[#Headers],[Vertex]:[Top Word Pairs in Comment by Salience]],0),FALSE)</f>
        <v>122</v>
      </c>
    </row>
    <row r="127" spans="1:3" ht="15">
      <c r="A127" s="81" t="s">
        <v>1382</v>
      </c>
      <c r="B127" s="83" t="s">
        <v>419</v>
      </c>
      <c r="C127" s="80">
        <f>VLOOKUP(GroupVertices[[#This Row],[Vertex]],Vertices[],MATCH("ID",Vertices[[#Headers],[Vertex]:[Top Word Pairs in Comment by Salience]],0),FALSE)</f>
        <v>99</v>
      </c>
    </row>
    <row r="128" spans="1:3" ht="15">
      <c r="A128" s="81" t="s">
        <v>1382</v>
      </c>
      <c r="B128" s="83" t="s">
        <v>418</v>
      </c>
      <c r="C128" s="80">
        <f>VLOOKUP(GroupVertices[[#This Row],[Vertex]],Vertices[],MATCH("ID",Vertices[[#Headers],[Vertex]:[Top Word Pairs in Comment by Salience]],0),FALSE)</f>
        <v>98</v>
      </c>
    </row>
    <row r="129" spans="1:3" ht="15">
      <c r="A129" s="81" t="s">
        <v>1382</v>
      </c>
      <c r="B129" s="83" t="s">
        <v>416</v>
      </c>
      <c r="C129" s="80">
        <f>VLOOKUP(GroupVertices[[#This Row],[Vertex]],Vertices[],MATCH("ID",Vertices[[#Headers],[Vertex]:[Top Word Pairs in Comment by Salience]],0),FALSE)</f>
        <v>97</v>
      </c>
    </row>
    <row r="130" spans="1:3" ht="15">
      <c r="A130" s="81" t="s">
        <v>1382</v>
      </c>
      <c r="B130" s="83" t="s">
        <v>417</v>
      </c>
      <c r="C130" s="80">
        <f>VLOOKUP(GroupVertices[[#This Row],[Vertex]],Vertices[],MATCH("ID",Vertices[[#Headers],[Vertex]:[Top Word Pairs in Comment by Salience]],0),FALSE)</f>
        <v>96</v>
      </c>
    </row>
    <row r="131" spans="1:3" ht="15">
      <c r="A131" s="81" t="s">
        <v>1382</v>
      </c>
      <c r="B131" s="83" t="s">
        <v>415</v>
      </c>
      <c r="C131" s="80">
        <f>VLOOKUP(GroupVertices[[#This Row],[Vertex]],Vertices[],MATCH("ID",Vertices[[#Headers],[Vertex]:[Top Word Pairs in Comment by Salience]],0),FALSE)</f>
        <v>95</v>
      </c>
    </row>
    <row r="132" spans="1:3" ht="15">
      <c r="A132" s="81" t="s">
        <v>1382</v>
      </c>
      <c r="B132" s="83" t="s">
        <v>414</v>
      </c>
      <c r="C132" s="80">
        <f>VLOOKUP(GroupVertices[[#This Row],[Vertex]],Vertices[],MATCH("ID",Vertices[[#Headers],[Vertex]:[Top Word Pairs in Comment by Salience]],0),FALSE)</f>
        <v>94</v>
      </c>
    </row>
    <row r="133" spans="1:3" ht="15">
      <c r="A133" s="81" t="s">
        <v>1382</v>
      </c>
      <c r="B133" s="83" t="s">
        <v>413</v>
      </c>
      <c r="C133" s="80">
        <f>VLOOKUP(GroupVertices[[#This Row],[Vertex]],Vertices[],MATCH("ID",Vertices[[#Headers],[Vertex]:[Top Word Pairs in Comment by Salience]],0),FALSE)</f>
        <v>92</v>
      </c>
    </row>
    <row r="134" spans="1:3" ht="15">
      <c r="A134" s="81" t="s">
        <v>1382</v>
      </c>
      <c r="B134" s="83" t="s">
        <v>412</v>
      </c>
      <c r="C134" s="80">
        <f>VLOOKUP(GroupVertices[[#This Row],[Vertex]],Vertices[],MATCH("ID",Vertices[[#Headers],[Vertex]:[Top Word Pairs in Comment by Salience]],0),FALSE)</f>
        <v>91</v>
      </c>
    </row>
    <row r="135" spans="1:3" ht="15">
      <c r="A135" s="81" t="s">
        <v>1383</v>
      </c>
      <c r="B135" s="83" t="s">
        <v>539</v>
      </c>
      <c r="C135" s="80">
        <f>VLOOKUP(GroupVertices[[#This Row],[Vertex]],Vertices[],MATCH("ID",Vertices[[#Headers],[Vertex]:[Top Word Pairs in Comment by Salience]],0),FALSE)</f>
        <v>218</v>
      </c>
    </row>
    <row r="136" spans="1:3" ht="15">
      <c r="A136" s="81" t="s">
        <v>1383</v>
      </c>
      <c r="B136" s="83" t="s">
        <v>450</v>
      </c>
      <c r="C136" s="80">
        <f>VLOOKUP(GroupVertices[[#This Row],[Vertex]],Vertices[],MATCH("ID",Vertices[[#Headers],[Vertex]:[Top Word Pairs in Comment by Salience]],0),FALSE)</f>
        <v>13</v>
      </c>
    </row>
    <row r="137" spans="1:3" ht="15">
      <c r="A137" s="81" t="s">
        <v>1383</v>
      </c>
      <c r="B137" s="83" t="s">
        <v>509</v>
      </c>
      <c r="C137" s="80">
        <f>VLOOKUP(GroupVertices[[#This Row],[Vertex]],Vertices[],MATCH("ID",Vertices[[#Headers],[Vertex]:[Top Word Pairs in Comment by Salience]],0),FALSE)</f>
        <v>193</v>
      </c>
    </row>
    <row r="138" spans="1:3" ht="15">
      <c r="A138" s="81" t="s">
        <v>1383</v>
      </c>
      <c r="B138" s="83" t="s">
        <v>451</v>
      </c>
      <c r="C138" s="80">
        <f>VLOOKUP(GroupVertices[[#This Row],[Vertex]],Vertices[],MATCH("ID",Vertices[[#Headers],[Vertex]:[Top Word Pairs in Comment by Salience]],0),FALSE)</f>
        <v>133</v>
      </c>
    </row>
    <row r="139" spans="1:3" ht="15">
      <c r="A139" s="81" t="s">
        <v>1383</v>
      </c>
      <c r="B139" s="83" t="s">
        <v>449</v>
      </c>
      <c r="C139" s="80">
        <f>VLOOKUP(GroupVertices[[#This Row],[Vertex]],Vertices[],MATCH("ID",Vertices[[#Headers],[Vertex]:[Top Word Pairs in Comment by Salience]],0),FALSE)</f>
        <v>132</v>
      </c>
    </row>
    <row r="140" spans="1:3" ht="15">
      <c r="A140" s="81" t="s">
        <v>1383</v>
      </c>
      <c r="B140" s="83" t="s">
        <v>448</v>
      </c>
      <c r="C140" s="80">
        <f>VLOOKUP(GroupVertices[[#This Row],[Vertex]],Vertices[],MATCH("ID",Vertices[[#Headers],[Vertex]:[Top Word Pairs in Comment by Salience]],0),FALSE)</f>
        <v>131</v>
      </c>
    </row>
    <row r="141" spans="1:3" ht="15">
      <c r="A141" s="81" t="s">
        <v>1383</v>
      </c>
      <c r="B141" s="83" t="s">
        <v>447</v>
      </c>
      <c r="C141" s="80">
        <f>VLOOKUP(GroupVertices[[#This Row],[Vertex]],Vertices[],MATCH("ID",Vertices[[#Headers],[Vertex]:[Top Word Pairs in Comment by Salience]],0),FALSE)</f>
        <v>130</v>
      </c>
    </row>
    <row r="142" spans="1:3" ht="15">
      <c r="A142" s="81" t="s">
        <v>1383</v>
      </c>
      <c r="B142" s="83" t="s">
        <v>446</v>
      </c>
      <c r="C142" s="80">
        <f>VLOOKUP(GroupVertices[[#This Row],[Vertex]],Vertices[],MATCH("ID",Vertices[[#Headers],[Vertex]:[Top Word Pairs in Comment by Salience]],0),FALSE)</f>
        <v>129</v>
      </c>
    </row>
    <row r="143" spans="1:3" ht="15">
      <c r="A143" s="81" t="s">
        <v>1383</v>
      </c>
      <c r="B143" s="83" t="s">
        <v>445</v>
      </c>
      <c r="C143" s="80">
        <f>VLOOKUP(GroupVertices[[#This Row],[Vertex]],Vertices[],MATCH("ID",Vertices[[#Headers],[Vertex]:[Top Word Pairs in Comment by Salience]],0),FALSE)</f>
        <v>128</v>
      </c>
    </row>
    <row r="144" spans="1:3" ht="15">
      <c r="A144" s="81" t="s">
        <v>1383</v>
      </c>
      <c r="B144" s="83" t="s">
        <v>345</v>
      </c>
      <c r="C144" s="80">
        <f>VLOOKUP(GroupVertices[[#This Row],[Vertex]],Vertices[],MATCH("ID",Vertices[[#Headers],[Vertex]:[Top Word Pairs in Comment by Salience]],0),FALSE)</f>
        <v>12</v>
      </c>
    </row>
    <row r="145" spans="1:3" ht="15">
      <c r="A145" s="81" t="s">
        <v>1384</v>
      </c>
      <c r="B145" s="83" t="s">
        <v>497</v>
      </c>
      <c r="C145" s="80">
        <f>VLOOKUP(GroupVertices[[#This Row],[Vertex]],Vertices[],MATCH("ID",Vertices[[#Headers],[Vertex]:[Top Word Pairs in Comment by Salience]],0),FALSE)</f>
        <v>181</v>
      </c>
    </row>
    <row r="146" spans="1:3" ht="15">
      <c r="A146" s="81" t="s">
        <v>1384</v>
      </c>
      <c r="B146" s="83" t="s">
        <v>430</v>
      </c>
      <c r="C146" s="80">
        <f>VLOOKUP(GroupVertices[[#This Row],[Vertex]],Vertices[],MATCH("ID",Vertices[[#Headers],[Vertex]:[Top Word Pairs in Comment by Salience]],0),FALSE)</f>
        <v>102</v>
      </c>
    </row>
    <row r="147" spans="1:3" ht="15">
      <c r="A147" s="81" t="s">
        <v>1384</v>
      </c>
      <c r="B147" s="83" t="s">
        <v>431</v>
      </c>
      <c r="C147" s="80">
        <f>VLOOKUP(GroupVertices[[#This Row],[Vertex]],Vertices[],MATCH("ID",Vertices[[#Headers],[Vertex]:[Top Word Pairs in Comment by Salience]],0),FALSE)</f>
        <v>112</v>
      </c>
    </row>
    <row r="148" spans="1:3" ht="15">
      <c r="A148" s="81" t="s">
        <v>1384</v>
      </c>
      <c r="B148" s="83" t="s">
        <v>429</v>
      </c>
      <c r="C148" s="80">
        <f>VLOOKUP(GroupVertices[[#This Row],[Vertex]],Vertices[],MATCH("ID",Vertices[[#Headers],[Vertex]:[Top Word Pairs in Comment by Salience]],0),FALSE)</f>
        <v>111</v>
      </c>
    </row>
    <row r="149" spans="1:3" ht="15">
      <c r="A149" s="81" t="s">
        <v>1384</v>
      </c>
      <c r="B149" s="83" t="s">
        <v>428</v>
      </c>
      <c r="C149" s="80">
        <f>VLOOKUP(GroupVertices[[#This Row],[Vertex]],Vertices[],MATCH("ID",Vertices[[#Headers],[Vertex]:[Top Word Pairs in Comment by Salience]],0),FALSE)</f>
        <v>110</v>
      </c>
    </row>
    <row r="150" spans="1:3" ht="15">
      <c r="A150" s="81" t="s">
        <v>1384</v>
      </c>
      <c r="B150" s="83" t="s">
        <v>425</v>
      </c>
      <c r="C150" s="80">
        <f>VLOOKUP(GroupVertices[[#This Row],[Vertex]],Vertices[],MATCH("ID",Vertices[[#Headers],[Vertex]:[Top Word Pairs in Comment by Salience]],0),FALSE)</f>
        <v>106</v>
      </c>
    </row>
    <row r="151" spans="1:3" ht="15">
      <c r="A151" s="81" t="s">
        <v>1384</v>
      </c>
      <c r="B151" s="83" t="s">
        <v>424</v>
      </c>
      <c r="C151" s="80">
        <f>VLOOKUP(GroupVertices[[#This Row],[Vertex]],Vertices[],MATCH("ID",Vertices[[#Headers],[Vertex]:[Top Word Pairs in Comment by Salience]],0),FALSE)</f>
        <v>105</v>
      </c>
    </row>
    <row r="152" spans="1:3" ht="15">
      <c r="A152" s="81" t="s">
        <v>1384</v>
      </c>
      <c r="B152" s="83" t="s">
        <v>423</v>
      </c>
      <c r="C152" s="80">
        <f>VLOOKUP(GroupVertices[[#This Row],[Vertex]],Vertices[],MATCH("ID",Vertices[[#Headers],[Vertex]:[Top Word Pairs in Comment by Salience]],0),FALSE)</f>
        <v>104</v>
      </c>
    </row>
    <row r="153" spans="1:3" ht="15">
      <c r="A153" s="81" t="s">
        <v>1384</v>
      </c>
      <c r="B153" s="83" t="s">
        <v>422</v>
      </c>
      <c r="C153" s="80">
        <f>VLOOKUP(GroupVertices[[#This Row],[Vertex]],Vertices[],MATCH("ID",Vertices[[#Headers],[Vertex]:[Top Word Pairs in Comment by Salience]],0),FALSE)</f>
        <v>103</v>
      </c>
    </row>
    <row r="154" spans="1:3" ht="15">
      <c r="A154" s="81" t="s">
        <v>1384</v>
      </c>
      <c r="B154" s="83" t="s">
        <v>421</v>
      </c>
      <c r="C154" s="80">
        <f>VLOOKUP(GroupVertices[[#This Row],[Vertex]],Vertices[],MATCH("ID",Vertices[[#Headers],[Vertex]:[Top Word Pairs in Comment by Salience]],0),FALSE)</f>
        <v>101</v>
      </c>
    </row>
    <row r="155" spans="1:3" ht="15">
      <c r="A155" s="81" t="s">
        <v>1385</v>
      </c>
      <c r="B155" s="83" t="s">
        <v>389</v>
      </c>
      <c r="C155" s="80">
        <f>VLOOKUP(GroupVertices[[#This Row],[Vertex]],Vertices[],MATCH("ID",Vertices[[#Headers],[Vertex]:[Top Word Pairs in Comment by Salience]],0),FALSE)</f>
        <v>63</v>
      </c>
    </row>
    <row r="156" spans="1:3" ht="15">
      <c r="A156" s="81" t="s">
        <v>1385</v>
      </c>
      <c r="B156" s="83" t="s">
        <v>543</v>
      </c>
      <c r="C156" s="80">
        <f>VLOOKUP(GroupVertices[[#This Row],[Vertex]],Vertices[],MATCH("ID",Vertices[[#Headers],[Vertex]:[Top Word Pairs in Comment by Salience]],0),FALSE)</f>
        <v>56</v>
      </c>
    </row>
    <row r="157" spans="1:3" ht="15">
      <c r="A157" s="81" t="s">
        <v>1385</v>
      </c>
      <c r="B157" s="83" t="s">
        <v>388</v>
      </c>
      <c r="C157" s="80">
        <f>VLOOKUP(GroupVertices[[#This Row],[Vertex]],Vertices[],MATCH("ID",Vertices[[#Headers],[Vertex]:[Top Word Pairs in Comment by Salience]],0),FALSE)</f>
        <v>62</v>
      </c>
    </row>
    <row r="158" spans="1:3" ht="15">
      <c r="A158" s="81" t="s">
        <v>1385</v>
      </c>
      <c r="B158" s="83" t="s">
        <v>381</v>
      </c>
      <c r="C158" s="80">
        <f>VLOOKUP(GroupVertices[[#This Row],[Vertex]],Vertices[],MATCH("ID",Vertices[[#Headers],[Vertex]:[Top Word Pairs in Comment by Salience]],0),FALSE)</f>
        <v>54</v>
      </c>
    </row>
    <row r="159" spans="1:3" ht="15">
      <c r="A159" s="81" t="s">
        <v>1385</v>
      </c>
      <c r="B159" s="83" t="s">
        <v>387</v>
      </c>
      <c r="C159" s="80">
        <f>VLOOKUP(GroupVertices[[#This Row],[Vertex]],Vertices[],MATCH("ID",Vertices[[#Headers],[Vertex]:[Top Word Pairs in Comment by Salience]],0),FALSE)</f>
        <v>61</v>
      </c>
    </row>
    <row r="160" spans="1:3" ht="15">
      <c r="A160" s="81" t="s">
        <v>1385</v>
      </c>
      <c r="B160" s="83" t="s">
        <v>386</v>
      </c>
      <c r="C160" s="80">
        <f>VLOOKUP(GroupVertices[[#This Row],[Vertex]],Vertices[],MATCH("ID",Vertices[[#Headers],[Vertex]:[Top Word Pairs in Comment by Salience]],0),FALSE)</f>
        <v>60</v>
      </c>
    </row>
    <row r="161" spans="1:3" ht="15">
      <c r="A161" s="81" t="s">
        <v>1385</v>
      </c>
      <c r="B161" s="83" t="s">
        <v>385</v>
      </c>
      <c r="C161" s="80">
        <f>VLOOKUP(GroupVertices[[#This Row],[Vertex]],Vertices[],MATCH("ID",Vertices[[#Headers],[Vertex]:[Top Word Pairs in Comment by Salience]],0),FALSE)</f>
        <v>59</v>
      </c>
    </row>
    <row r="162" spans="1:3" ht="15">
      <c r="A162" s="81" t="s">
        <v>1385</v>
      </c>
      <c r="B162" s="83" t="s">
        <v>384</v>
      </c>
      <c r="C162" s="80">
        <f>VLOOKUP(GroupVertices[[#This Row],[Vertex]],Vertices[],MATCH("ID",Vertices[[#Headers],[Vertex]:[Top Word Pairs in Comment by Salience]],0),FALSE)</f>
        <v>58</v>
      </c>
    </row>
    <row r="163" spans="1:3" ht="15">
      <c r="A163" s="81" t="s">
        <v>1385</v>
      </c>
      <c r="B163" s="83" t="s">
        <v>383</v>
      </c>
      <c r="C163" s="80">
        <f>VLOOKUP(GroupVertices[[#This Row],[Vertex]],Vertices[],MATCH("ID",Vertices[[#Headers],[Vertex]:[Top Word Pairs in Comment by Salience]],0),FALSE)</f>
        <v>57</v>
      </c>
    </row>
    <row r="164" spans="1:3" ht="15">
      <c r="A164" s="81" t="s">
        <v>1385</v>
      </c>
      <c r="B164" s="83" t="s">
        <v>382</v>
      </c>
      <c r="C164" s="80">
        <f>VLOOKUP(GroupVertices[[#This Row],[Vertex]],Vertices[],MATCH("ID",Vertices[[#Headers],[Vertex]:[Top Word Pairs in Comment by Salience]],0),FALSE)</f>
        <v>55</v>
      </c>
    </row>
    <row r="165" spans="1:3" ht="15">
      <c r="A165" s="81" t="s">
        <v>1386</v>
      </c>
      <c r="B165" s="83" t="s">
        <v>371</v>
      </c>
      <c r="C165" s="80">
        <f>VLOOKUP(GroupVertices[[#This Row],[Vertex]],Vertices[],MATCH("ID",Vertices[[#Headers],[Vertex]:[Top Word Pairs in Comment by Salience]],0),FALSE)</f>
        <v>42</v>
      </c>
    </row>
    <row r="166" spans="1:3" ht="15">
      <c r="A166" s="81" t="s">
        <v>1386</v>
      </c>
      <c r="B166" s="83" t="s">
        <v>358</v>
      </c>
      <c r="C166" s="80">
        <f>VLOOKUP(GroupVertices[[#This Row],[Vertex]],Vertices[],MATCH("ID",Vertices[[#Headers],[Vertex]:[Top Word Pairs in Comment by Salience]],0),FALSE)</f>
        <v>28</v>
      </c>
    </row>
    <row r="167" spans="1:3" ht="15">
      <c r="A167" s="81" t="s">
        <v>1386</v>
      </c>
      <c r="B167" s="83" t="s">
        <v>364</v>
      </c>
      <c r="C167" s="80">
        <f>VLOOKUP(GroupVertices[[#This Row],[Vertex]],Vertices[],MATCH("ID",Vertices[[#Headers],[Vertex]:[Top Word Pairs in Comment by Salience]],0),FALSE)</f>
        <v>35</v>
      </c>
    </row>
    <row r="168" spans="1:3" ht="15">
      <c r="A168" s="81" t="s">
        <v>1386</v>
      </c>
      <c r="B168" s="83" t="s">
        <v>363</v>
      </c>
      <c r="C168" s="80">
        <f>VLOOKUP(GroupVertices[[#This Row],[Vertex]],Vertices[],MATCH("ID",Vertices[[#Headers],[Vertex]:[Top Word Pairs in Comment by Salience]],0),FALSE)</f>
        <v>34</v>
      </c>
    </row>
    <row r="169" spans="1:3" ht="15">
      <c r="A169" s="81" t="s">
        <v>1386</v>
      </c>
      <c r="B169" s="83" t="s">
        <v>362</v>
      </c>
      <c r="C169" s="80">
        <f>VLOOKUP(GroupVertices[[#This Row],[Vertex]],Vertices[],MATCH("ID",Vertices[[#Headers],[Vertex]:[Top Word Pairs in Comment by Salience]],0),FALSE)</f>
        <v>33</v>
      </c>
    </row>
    <row r="170" spans="1:3" ht="15">
      <c r="A170" s="81" t="s">
        <v>1386</v>
      </c>
      <c r="B170" s="83" t="s">
        <v>361</v>
      </c>
      <c r="C170" s="80">
        <f>VLOOKUP(GroupVertices[[#This Row],[Vertex]],Vertices[],MATCH("ID",Vertices[[#Headers],[Vertex]:[Top Word Pairs in Comment by Salience]],0),FALSE)</f>
        <v>32</v>
      </c>
    </row>
    <row r="171" spans="1:3" ht="15">
      <c r="A171" s="81" t="s">
        <v>1386</v>
      </c>
      <c r="B171" s="83" t="s">
        <v>360</v>
      </c>
      <c r="C171" s="80">
        <f>VLOOKUP(GroupVertices[[#This Row],[Vertex]],Vertices[],MATCH("ID",Vertices[[#Headers],[Vertex]:[Top Word Pairs in Comment by Salience]],0),FALSE)</f>
        <v>31</v>
      </c>
    </row>
    <row r="172" spans="1:3" ht="15">
      <c r="A172" s="81" t="s">
        <v>1386</v>
      </c>
      <c r="B172" s="83" t="s">
        <v>359</v>
      </c>
      <c r="C172" s="80">
        <f>VLOOKUP(GroupVertices[[#This Row],[Vertex]],Vertices[],MATCH("ID",Vertices[[#Headers],[Vertex]:[Top Word Pairs in Comment by Salience]],0),FALSE)</f>
        <v>30</v>
      </c>
    </row>
    <row r="173" spans="1:3" ht="15">
      <c r="A173" s="81" t="s">
        <v>1386</v>
      </c>
      <c r="B173" s="83" t="s">
        <v>357</v>
      </c>
      <c r="C173" s="80">
        <f>VLOOKUP(GroupVertices[[#This Row],[Vertex]],Vertices[],MATCH("ID",Vertices[[#Headers],[Vertex]:[Top Word Pairs in Comment by Salience]],0),FALSE)</f>
        <v>29</v>
      </c>
    </row>
    <row r="174" spans="1:3" ht="15">
      <c r="A174" s="81" t="s">
        <v>1386</v>
      </c>
      <c r="B174" s="83" t="s">
        <v>356</v>
      </c>
      <c r="C174" s="80">
        <f>VLOOKUP(GroupVertices[[#This Row],[Vertex]],Vertices[],MATCH("ID",Vertices[[#Headers],[Vertex]:[Top Word Pairs in Comment by Salience]],0),FALSE)</f>
        <v>27</v>
      </c>
    </row>
    <row r="175" spans="1:3" ht="15">
      <c r="A175" s="81" t="s">
        <v>1387</v>
      </c>
      <c r="B175" s="83" t="s">
        <v>408</v>
      </c>
      <c r="C175" s="80">
        <f>VLOOKUP(GroupVertices[[#This Row],[Vertex]],Vertices[],MATCH("ID",Vertices[[#Headers],[Vertex]:[Top Word Pairs in Comment by Salience]],0),FALSE)</f>
        <v>86</v>
      </c>
    </row>
    <row r="176" spans="1:3" ht="15">
      <c r="A176" s="81" t="s">
        <v>1387</v>
      </c>
      <c r="B176" s="83" t="s">
        <v>550</v>
      </c>
      <c r="C176" s="80">
        <f>VLOOKUP(GroupVertices[[#This Row],[Vertex]],Vertices[],MATCH("ID",Vertices[[#Headers],[Vertex]:[Top Word Pairs in Comment by Salience]],0),FALSE)</f>
        <v>81</v>
      </c>
    </row>
    <row r="177" spans="1:3" ht="15">
      <c r="A177" s="81" t="s">
        <v>1387</v>
      </c>
      <c r="B177" s="83" t="s">
        <v>407</v>
      </c>
      <c r="C177" s="80">
        <f>VLOOKUP(GroupVertices[[#This Row],[Vertex]],Vertices[],MATCH("ID",Vertices[[#Headers],[Vertex]:[Top Word Pairs in Comment by Salience]],0),FALSE)</f>
        <v>85</v>
      </c>
    </row>
    <row r="178" spans="1:3" ht="15">
      <c r="A178" s="81" t="s">
        <v>1387</v>
      </c>
      <c r="B178" s="83" t="s">
        <v>406</v>
      </c>
      <c r="C178" s="80">
        <f>VLOOKUP(GroupVertices[[#This Row],[Vertex]],Vertices[],MATCH("ID",Vertices[[#Headers],[Vertex]:[Top Word Pairs in Comment by Salience]],0),FALSE)</f>
        <v>84</v>
      </c>
    </row>
    <row r="179" spans="1:3" ht="15">
      <c r="A179" s="81" t="s">
        <v>1387</v>
      </c>
      <c r="B179" s="83" t="s">
        <v>405</v>
      </c>
      <c r="C179" s="80">
        <f>VLOOKUP(GroupVertices[[#This Row],[Vertex]],Vertices[],MATCH("ID",Vertices[[#Headers],[Vertex]:[Top Word Pairs in Comment by Salience]],0),FALSE)</f>
        <v>83</v>
      </c>
    </row>
    <row r="180" spans="1:3" ht="15">
      <c r="A180" s="81" t="s">
        <v>1387</v>
      </c>
      <c r="B180" s="83" t="s">
        <v>404</v>
      </c>
      <c r="C180" s="80">
        <f>VLOOKUP(GroupVertices[[#This Row],[Vertex]],Vertices[],MATCH("ID",Vertices[[#Headers],[Vertex]:[Top Word Pairs in Comment by Salience]],0),FALSE)</f>
        <v>82</v>
      </c>
    </row>
    <row r="181" spans="1:3" ht="15">
      <c r="A181" s="81" t="s">
        <v>1387</v>
      </c>
      <c r="B181" s="83" t="s">
        <v>403</v>
      </c>
      <c r="C181" s="80">
        <f>VLOOKUP(GroupVertices[[#This Row],[Vertex]],Vertices[],MATCH("ID",Vertices[[#Headers],[Vertex]:[Top Word Pairs in Comment by Salience]],0),FALSE)</f>
        <v>80</v>
      </c>
    </row>
    <row r="182" spans="1:3" ht="15">
      <c r="A182" s="81" t="s">
        <v>1388</v>
      </c>
      <c r="B182" s="83" t="s">
        <v>344</v>
      </c>
      <c r="C182" s="80">
        <f>VLOOKUP(GroupVertices[[#This Row],[Vertex]],Vertices[],MATCH("ID",Vertices[[#Headers],[Vertex]:[Top Word Pairs in Comment by Salience]],0),FALSE)</f>
        <v>11</v>
      </c>
    </row>
    <row r="183" spans="1:3" ht="15">
      <c r="A183" s="81" t="s">
        <v>1388</v>
      </c>
      <c r="B183" s="83" t="s">
        <v>525</v>
      </c>
      <c r="C183" s="80">
        <f>VLOOKUP(GroupVertices[[#This Row],[Vertex]],Vertices[],MATCH("ID",Vertices[[#Headers],[Vertex]:[Top Word Pairs in Comment by Salience]],0),FALSE)</f>
        <v>6</v>
      </c>
    </row>
    <row r="184" spans="1:3" ht="15">
      <c r="A184" s="81" t="s">
        <v>1388</v>
      </c>
      <c r="B184" s="83" t="s">
        <v>343</v>
      </c>
      <c r="C184" s="80">
        <f>VLOOKUP(GroupVertices[[#This Row],[Vertex]],Vertices[],MATCH("ID",Vertices[[#Headers],[Vertex]:[Top Word Pairs in Comment by Salience]],0),FALSE)</f>
        <v>10</v>
      </c>
    </row>
    <row r="185" spans="1:3" ht="15">
      <c r="A185" s="81" t="s">
        <v>1388</v>
      </c>
      <c r="B185" s="83" t="s">
        <v>342</v>
      </c>
      <c r="C185" s="80">
        <f>VLOOKUP(GroupVertices[[#This Row],[Vertex]],Vertices[],MATCH("ID",Vertices[[#Headers],[Vertex]:[Top Word Pairs in Comment by Salience]],0),FALSE)</f>
        <v>9</v>
      </c>
    </row>
    <row r="186" spans="1:3" ht="15">
      <c r="A186" s="81" t="s">
        <v>1388</v>
      </c>
      <c r="B186" s="83" t="s">
        <v>341</v>
      </c>
      <c r="C186" s="80">
        <f>VLOOKUP(GroupVertices[[#This Row],[Vertex]],Vertices[],MATCH("ID",Vertices[[#Headers],[Vertex]:[Top Word Pairs in Comment by Salience]],0),FALSE)</f>
        <v>8</v>
      </c>
    </row>
    <row r="187" spans="1:3" ht="15">
      <c r="A187" s="81" t="s">
        <v>1388</v>
      </c>
      <c r="B187" s="83" t="s">
        <v>340</v>
      </c>
      <c r="C187" s="80">
        <f>VLOOKUP(GroupVertices[[#This Row],[Vertex]],Vertices[],MATCH("ID",Vertices[[#Headers],[Vertex]:[Top Word Pairs in Comment by Salience]],0),FALSE)</f>
        <v>7</v>
      </c>
    </row>
    <row r="188" spans="1:3" ht="15">
      <c r="A188" s="81" t="s">
        <v>1388</v>
      </c>
      <c r="B188" s="83" t="s">
        <v>339</v>
      </c>
      <c r="C188" s="80">
        <f>VLOOKUP(GroupVertices[[#This Row],[Vertex]],Vertices[],MATCH("ID",Vertices[[#Headers],[Vertex]:[Top Word Pairs in Comment by Salience]],0),FALSE)</f>
        <v>5</v>
      </c>
    </row>
    <row r="189" spans="1:3" ht="15">
      <c r="A189" s="81" t="s">
        <v>1389</v>
      </c>
      <c r="B189" s="83" t="s">
        <v>457</v>
      </c>
      <c r="C189" s="80">
        <f>VLOOKUP(GroupVertices[[#This Row],[Vertex]],Vertices[],MATCH("ID",Vertices[[#Headers],[Vertex]:[Top Word Pairs in Comment by Salience]],0),FALSE)</f>
        <v>140</v>
      </c>
    </row>
    <row r="190" spans="1:3" ht="15">
      <c r="A190" s="81" t="s">
        <v>1389</v>
      </c>
      <c r="B190" s="83" t="s">
        <v>559</v>
      </c>
      <c r="C190" s="80">
        <f>VLOOKUP(GroupVertices[[#This Row],[Vertex]],Vertices[],MATCH("ID",Vertices[[#Headers],[Vertex]:[Top Word Pairs in Comment by Salience]],0),FALSE)</f>
        <v>138</v>
      </c>
    </row>
    <row r="191" spans="1:3" ht="15">
      <c r="A191" s="81" t="s">
        <v>1389</v>
      </c>
      <c r="B191" s="83" t="s">
        <v>456</v>
      </c>
      <c r="C191" s="80">
        <f>VLOOKUP(GroupVertices[[#This Row],[Vertex]],Vertices[],MATCH("ID",Vertices[[#Headers],[Vertex]:[Top Word Pairs in Comment by Salience]],0),FALSE)</f>
        <v>139</v>
      </c>
    </row>
    <row r="192" spans="1:3" ht="15">
      <c r="A192" s="81" t="s">
        <v>1389</v>
      </c>
      <c r="B192" s="83" t="s">
        <v>455</v>
      </c>
      <c r="C192" s="80">
        <f>VLOOKUP(GroupVertices[[#This Row],[Vertex]],Vertices[],MATCH("ID",Vertices[[#Headers],[Vertex]:[Top Word Pairs in Comment by Salience]],0),FALSE)</f>
        <v>137</v>
      </c>
    </row>
    <row r="193" spans="1:3" ht="15">
      <c r="A193" s="81" t="s">
        <v>1390</v>
      </c>
      <c r="B193" s="83" t="s">
        <v>375</v>
      </c>
      <c r="C193" s="80">
        <f>VLOOKUP(GroupVertices[[#This Row],[Vertex]],Vertices[],MATCH("ID",Vertices[[#Headers],[Vertex]:[Top Word Pairs in Comment by Salience]],0),FALSE)</f>
        <v>47</v>
      </c>
    </row>
    <row r="194" spans="1:3" ht="15">
      <c r="A194" s="81" t="s">
        <v>1390</v>
      </c>
      <c r="B194" s="83" t="s">
        <v>536</v>
      </c>
      <c r="C194" s="80">
        <f>VLOOKUP(GroupVertices[[#This Row],[Vertex]],Vertices[],MATCH("ID",Vertices[[#Headers],[Vertex]:[Top Word Pairs in Comment by Salience]],0),FALSE)</f>
        <v>45</v>
      </c>
    </row>
    <row r="195" spans="1:3" ht="15">
      <c r="A195" s="81" t="s">
        <v>1390</v>
      </c>
      <c r="B195" s="83" t="s">
        <v>374</v>
      </c>
      <c r="C195" s="80">
        <f>VLOOKUP(GroupVertices[[#This Row],[Vertex]],Vertices[],MATCH("ID",Vertices[[#Headers],[Vertex]:[Top Word Pairs in Comment by Salience]],0),FALSE)</f>
        <v>46</v>
      </c>
    </row>
    <row r="196" spans="1:3" ht="15">
      <c r="A196" s="81" t="s">
        <v>1390</v>
      </c>
      <c r="B196" s="83" t="s">
        <v>373</v>
      </c>
      <c r="C196" s="80">
        <f>VLOOKUP(GroupVertices[[#This Row],[Vertex]],Vertices[],MATCH("ID",Vertices[[#Headers],[Vertex]:[Top Word Pairs in Comment by Salience]],0),FALSE)</f>
        <v>44</v>
      </c>
    </row>
    <row r="197" spans="1:3" ht="15">
      <c r="A197" s="81" t="s">
        <v>1391</v>
      </c>
      <c r="B197" s="83" t="s">
        <v>348</v>
      </c>
      <c r="C197" s="80">
        <f>VLOOKUP(GroupVertices[[#This Row],[Vertex]],Vertices[],MATCH("ID",Vertices[[#Headers],[Vertex]:[Top Word Pairs in Comment by Salience]],0),FALSE)</f>
        <v>17</v>
      </c>
    </row>
    <row r="198" spans="1:3" ht="15">
      <c r="A198" s="81" t="s">
        <v>1391</v>
      </c>
      <c r="B198" s="83" t="s">
        <v>526</v>
      </c>
      <c r="C198" s="80">
        <f>VLOOKUP(GroupVertices[[#This Row],[Vertex]],Vertices[],MATCH("ID",Vertices[[#Headers],[Vertex]:[Top Word Pairs in Comment by Salience]],0),FALSE)</f>
        <v>15</v>
      </c>
    </row>
    <row r="199" spans="1:3" ht="15">
      <c r="A199" s="81" t="s">
        <v>1391</v>
      </c>
      <c r="B199" s="83" t="s">
        <v>347</v>
      </c>
      <c r="C199" s="80">
        <f>VLOOKUP(GroupVertices[[#This Row],[Vertex]],Vertices[],MATCH("ID",Vertices[[#Headers],[Vertex]:[Top Word Pairs in Comment by Salience]],0),FALSE)</f>
        <v>16</v>
      </c>
    </row>
    <row r="200" spans="1:3" ht="15">
      <c r="A200" s="81" t="s">
        <v>1391</v>
      </c>
      <c r="B200" s="83" t="s">
        <v>346</v>
      </c>
      <c r="C200" s="80">
        <f>VLOOKUP(GroupVertices[[#This Row],[Vertex]],Vertices[],MATCH("ID",Vertices[[#Headers],[Vertex]:[Top Word Pairs in Comment by Salience]],0),FALSE)</f>
        <v>14</v>
      </c>
    </row>
    <row r="201" spans="1:3" ht="15">
      <c r="A201" s="81" t="s">
        <v>1392</v>
      </c>
      <c r="B201" s="83" t="s">
        <v>427</v>
      </c>
      <c r="C201" s="80">
        <f>VLOOKUP(GroupVertices[[#This Row],[Vertex]],Vertices[],MATCH("ID",Vertices[[#Headers],[Vertex]:[Top Word Pairs in Comment by Salience]],0),FALSE)</f>
        <v>109</v>
      </c>
    </row>
    <row r="202" spans="1:3" ht="15">
      <c r="A202" s="81" t="s">
        <v>1392</v>
      </c>
      <c r="B202" s="83" t="s">
        <v>552</v>
      </c>
      <c r="C202" s="80">
        <f>VLOOKUP(GroupVertices[[#This Row],[Vertex]],Vertices[],MATCH("ID",Vertices[[#Headers],[Vertex]:[Top Word Pairs in Comment by Salience]],0),FALSE)</f>
        <v>108</v>
      </c>
    </row>
    <row r="203" spans="1:3" ht="15">
      <c r="A203" s="81" t="s">
        <v>1392</v>
      </c>
      <c r="B203" s="83" t="s">
        <v>426</v>
      </c>
      <c r="C203" s="80">
        <f>VLOOKUP(GroupVertices[[#This Row],[Vertex]],Vertices[],MATCH("ID",Vertices[[#Headers],[Vertex]:[Top Word Pairs in Comment by Salience]],0),FALSE)</f>
        <v>107</v>
      </c>
    </row>
    <row r="204" spans="1:3" ht="15">
      <c r="A204" s="81" t="s">
        <v>1393</v>
      </c>
      <c r="B204" s="83" t="s">
        <v>392</v>
      </c>
      <c r="C204" s="80">
        <f>VLOOKUP(GroupVertices[[#This Row],[Vertex]],Vertices[],MATCH("ID",Vertices[[#Headers],[Vertex]:[Top Word Pairs in Comment by Salience]],0),FALSE)</f>
        <v>68</v>
      </c>
    </row>
    <row r="205" spans="1:3" ht="15">
      <c r="A205" s="81" t="s">
        <v>1393</v>
      </c>
      <c r="B205" s="83" t="s">
        <v>546</v>
      </c>
      <c r="C205" s="80">
        <f>VLOOKUP(GroupVertices[[#This Row],[Vertex]],Vertices[],MATCH("ID",Vertices[[#Headers],[Vertex]:[Top Word Pairs in Comment by Salience]],0),FALSE)</f>
        <v>67</v>
      </c>
    </row>
    <row r="206" spans="1:3" ht="15">
      <c r="A206" s="81" t="s">
        <v>1393</v>
      </c>
      <c r="B206" s="83" t="s">
        <v>391</v>
      </c>
      <c r="C206" s="80">
        <f>VLOOKUP(GroupVertices[[#This Row],[Vertex]],Vertices[],MATCH("ID",Vertices[[#Headers],[Vertex]:[Top Word Pairs in Comment by Salience]],0),FALSE)</f>
        <v>66</v>
      </c>
    </row>
    <row r="207" spans="1:3" ht="15">
      <c r="A207" s="81" t="s">
        <v>1394</v>
      </c>
      <c r="B207" s="83" t="s">
        <v>355</v>
      </c>
      <c r="C207" s="80">
        <f>VLOOKUP(GroupVertices[[#This Row],[Vertex]],Vertices[],MATCH("ID",Vertices[[#Headers],[Vertex]:[Top Word Pairs in Comment by Salience]],0),FALSE)</f>
        <v>26</v>
      </c>
    </row>
    <row r="208" spans="1:3" ht="15">
      <c r="A208" s="81" t="s">
        <v>1394</v>
      </c>
      <c r="B208" s="83" t="s">
        <v>353</v>
      </c>
      <c r="C208" s="80">
        <f>VLOOKUP(GroupVertices[[#This Row],[Vertex]],Vertices[],MATCH("ID",Vertices[[#Headers],[Vertex]:[Top Word Pairs in Comment by Salience]],0),FALSE)</f>
        <v>24</v>
      </c>
    </row>
    <row r="209" spans="1:3" ht="15">
      <c r="A209" s="81" t="s">
        <v>1394</v>
      </c>
      <c r="B209" s="83" t="s">
        <v>354</v>
      </c>
      <c r="C209" s="80">
        <f>VLOOKUP(GroupVertices[[#This Row],[Vertex]],Vertices[],MATCH("ID",Vertices[[#Headers],[Vertex]:[Top Word Pairs in Comment by Salience]],0),FALSE)</f>
        <v>25</v>
      </c>
    </row>
    <row r="210" spans="1:3" ht="15">
      <c r="A210" s="81" t="s">
        <v>1395</v>
      </c>
      <c r="B210" s="83" t="s">
        <v>398</v>
      </c>
      <c r="C210" s="80">
        <f>VLOOKUP(GroupVertices[[#This Row],[Vertex]],Vertices[],MATCH("ID",Vertices[[#Headers],[Vertex]:[Top Word Pairs in Comment by Salience]],0),FALSE)</f>
        <v>75</v>
      </c>
    </row>
    <row r="211" spans="1:3" ht="15">
      <c r="A211" s="81" t="s">
        <v>1395</v>
      </c>
      <c r="B211" s="83" t="s">
        <v>397</v>
      </c>
      <c r="C211" s="80">
        <f>VLOOKUP(GroupVertices[[#This Row],[Vertex]],Vertices[],MATCH("ID",Vertices[[#Headers],[Vertex]:[Top Word Pairs in Comment by Salience]],0),FALSE)</f>
        <v>74</v>
      </c>
    </row>
    <row r="212" spans="1:3" ht="15">
      <c r="A212" s="81" t="s">
        <v>1396</v>
      </c>
      <c r="B212" s="83" t="s">
        <v>548</v>
      </c>
      <c r="C212" s="80">
        <f>VLOOKUP(GroupVertices[[#This Row],[Vertex]],Vertices[],MATCH("ID",Vertices[[#Headers],[Vertex]:[Top Word Pairs in Comment by Salience]],0),FALSE)</f>
        <v>70</v>
      </c>
    </row>
    <row r="213" spans="1:3" ht="15">
      <c r="A213" s="81" t="s">
        <v>1396</v>
      </c>
      <c r="B213" s="83" t="s">
        <v>393</v>
      </c>
      <c r="C213" s="80">
        <f>VLOOKUP(GroupVertices[[#This Row],[Vertex]],Vertices[],MATCH("ID",Vertices[[#Headers],[Vertex]:[Top Word Pairs in Comment by Salience]],0),FALSE)</f>
        <v>69</v>
      </c>
    </row>
    <row r="214" spans="1:3" ht="15">
      <c r="A214" s="81" t="s">
        <v>1397</v>
      </c>
      <c r="B214" s="83" t="s">
        <v>544</v>
      </c>
      <c r="C214" s="80">
        <f>VLOOKUP(GroupVertices[[#This Row],[Vertex]],Vertices[],MATCH("ID",Vertices[[#Headers],[Vertex]:[Top Word Pairs in Comment by Salience]],0),FALSE)</f>
        <v>65</v>
      </c>
    </row>
    <row r="215" spans="1:3" ht="15">
      <c r="A215" s="81" t="s">
        <v>1397</v>
      </c>
      <c r="B215" s="83" t="s">
        <v>390</v>
      </c>
      <c r="C215" s="80">
        <f>VLOOKUP(GroupVertices[[#This Row],[Vertex]],Vertices[],MATCH("ID",Vertices[[#Headers],[Vertex]:[Top Word Pairs in Comment by Salience]],0),FALSE)</f>
        <v>64</v>
      </c>
    </row>
    <row r="216" spans="1:3" ht="15">
      <c r="A216" s="81" t="s">
        <v>1398</v>
      </c>
      <c r="B216" s="83" t="s">
        <v>542</v>
      </c>
      <c r="C216" s="80">
        <f>VLOOKUP(GroupVertices[[#This Row],[Vertex]],Vertices[],MATCH("ID",Vertices[[#Headers],[Vertex]:[Top Word Pairs in Comment by Salience]],0),FALSE)</f>
        <v>53</v>
      </c>
    </row>
    <row r="217" spans="1:3" ht="15">
      <c r="A217" s="81" t="s">
        <v>1398</v>
      </c>
      <c r="B217" s="83" t="s">
        <v>380</v>
      </c>
      <c r="C217" s="80">
        <f>VLOOKUP(GroupVertices[[#This Row],[Vertex]],Vertices[],MATCH("ID",Vertices[[#Headers],[Vertex]:[Top Word Pairs in Comment by Salience]],0),FALSE)</f>
        <v>52</v>
      </c>
    </row>
    <row r="218" spans="1:3" ht="15">
      <c r="A218" s="81" t="s">
        <v>1399</v>
      </c>
      <c r="B218" s="83" t="s">
        <v>367</v>
      </c>
      <c r="C218" s="80">
        <f>VLOOKUP(GroupVertices[[#This Row],[Vertex]],Vertices[],MATCH("ID",Vertices[[#Headers],[Vertex]:[Top Word Pairs in Comment by Salience]],0),FALSE)</f>
        <v>39</v>
      </c>
    </row>
    <row r="219" spans="1:3" ht="15">
      <c r="A219" s="81" t="s">
        <v>1399</v>
      </c>
      <c r="B219" s="83" t="s">
        <v>366</v>
      </c>
      <c r="C219" s="80">
        <f>VLOOKUP(GroupVertices[[#This Row],[Vertex]],Vertices[],MATCH("ID",Vertices[[#Headers],[Vertex]:[Top Word Pairs in Comment by Salience]],0),FALSE)</f>
        <v>38</v>
      </c>
    </row>
    <row r="220" spans="1:3" ht="15">
      <c r="A220" s="81" t="s">
        <v>1400</v>
      </c>
      <c r="B220" s="83" t="s">
        <v>531</v>
      </c>
      <c r="C220" s="80">
        <f>VLOOKUP(GroupVertices[[#This Row],[Vertex]],Vertices[],MATCH("ID",Vertices[[#Headers],[Vertex]:[Top Word Pairs in Comment by Salience]],0),FALSE)</f>
        <v>21</v>
      </c>
    </row>
    <row r="221" spans="1:3" ht="15">
      <c r="A221" s="81" t="s">
        <v>1400</v>
      </c>
      <c r="B221" s="83" t="s">
        <v>350</v>
      </c>
      <c r="C221" s="80">
        <f>VLOOKUP(GroupVertices[[#This Row],[Vertex]],Vertices[],MATCH("ID",Vertices[[#Headers],[Vertex]:[Top Word Pairs in Comment by Salience]],0),FALSE)</f>
        <v>20</v>
      </c>
    </row>
    <row r="222" spans="1:3" ht="15">
      <c r="A222" s="81" t="s">
        <v>1401</v>
      </c>
      <c r="B222" s="83" t="s">
        <v>529</v>
      </c>
      <c r="C222" s="80">
        <f>VLOOKUP(GroupVertices[[#This Row],[Vertex]],Vertices[],MATCH("ID",Vertices[[#Headers],[Vertex]:[Top Word Pairs in Comment by Salience]],0),FALSE)</f>
        <v>19</v>
      </c>
    </row>
    <row r="223" spans="1:3" ht="15">
      <c r="A223" s="81" t="s">
        <v>1401</v>
      </c>
      <c r="B223" s="83" t="s">
        <v>349</v>
      </c>
      <c r="C223" s="80">
        <f>VLOOKUP(GroupVertices[[#This Row],[Vertex]],Vertices[],MATCH("ID",Vertices[[#Headers],[Vertex]:[Top Word Pairs in Comment by Salience]],0),FALSE)</f>
        <v>18</v>
      </c>
    </row>
    <row r="224" spans="1:3" ht="15">
      <c r="A224" s="81" t="s">
        <v>1402</v>
      </c>
      <c r="B224" s="83" t="s">
        <v>521</v>
      </c>
      <c r="C224" s="80">
        <f>VLOOKUP(GroupVertices[[#This Row],[Vertex]],Vertices[],MATCH("ID",Vertices[[#Headers],[Vertex]:[Top Word Pairs in Comment by Salience]],0),FALSE)</f>
        <v>4</v>
      </c>
    </row>
    <row r="225" spans="1:3" ht="15">
      <c r="A225" s="81" t="s">
        <v>1402</v>
      </c>
      <c r="B225" s="83" t="s">
        <v>562</v>
      </c>
      <c r="C225" s="80">
        <f>VLOOKUP(GroupVertices[[#This Row],[Vertex]],Vertices[],MATCH("ID",Vertices[[#Headers],[Vertex]:[Top Word Pairs in Comment by Salience]],0),FALSE)</f>
        <v>3</v>
      </c>
    </row>
  </sheetData>
  <dataValidations count="3" xWindow="58" yWindow="226">
    <dataValidation allowBlank="1" showInputMessage="1" showErrorMessage="1" promptTitle="Group Name" prompt="Enter the name of the group.  The group name must also be entered on the Groups worksheet." sqref="A2:A225"/>
    <dataValidation allowBlank="1" showInputMessage="1" showErrorMessage="1" promptTitle="Vertex Name" prompt="Enter the name of a vertex to include in the group." sqref="B2:B225"/>
    <dataValidation allowBlank="1" showInputMessage="1" promptTitle="Vertex ID" prompt="This is the value of the hidden ID cell in the Vertices worksheet.  It gets filled in by the items on the NodeXL, Analysis, Groups menu." sqref="C2:C2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2086</v>
      </c>
      <c r="B2" s="35" t="s">
        <v>302</v>
      </c>
      <c r="D2" s="32">
        <f>MIN(Vertices[Degree])</f>
        <v>0</v>
      </c>
      <c r="E2" s="3">
        <f>COUNTIF(Vertices[Degree],"&gt;= "&amp;D2)-COUNTIF(Vertices[Degree],"&gt;="&amp;D3)</f>
        <v>0</v>
      </c>
      <c r="F2" s="38">
        <f>MIN(Vertices[In-Degree])</f>
        <v>0</v>
      </c>
      <c r="G2" s="39">
        <f>COUNTIF(Vertices[In-Degree],"&gt;= "&amp;F2)-COUNTIF(Vertices[In-Degree],"&gt;="&amp;F3)</f>
        <v>200</v>
      </c>
      <c r="H2" s="38">
        <f>MIN(Vertices[Out-Degree])</f>
        <v>1</v>
      </c>
      <c r="I2" s="39">
        <f>COUNTIF(Vertices[Out-Degree],"&gt;= "&amp;H2)-COUNTIF(Vertices[Out-Degree],"&gt;="&amp;H3)</f>
        <v>190</v>
      </c>
      <c r="J2" s="38">
        <f>MIN(Vertices[Betweenness Centrality])</f>
        <v>0</v>
      </c>
      <c r="K2" s="39">
        <f>COUNTIF(Vertices[Betweenness Centrality],"&gt;= "&amp;J2)-COUNTIF(Vertices[Betweenness Centrality],"&gt;="&amp;J3)</f>
        <v>209</v>
      </c>
      <c r="L2" s="38">
        <f>MIN(Vertices[Closeness Centrality])</f>
        <v>0</v>
      </c>
      <c r="M2" s="39">
        <f>COUNTIF(Vertices[Closeness Centrality],"&gt;= "&amp;L2)-COUNTIF(Vertices[Closeness Centrality],"&gt;="&amp;L3)</f>
        <v>49</v>
      </c>
      <c r="N2" s="38">
        <f>MIN(Vertices[Eigenvector Centrality])</f>
        <v>0</v>
      </c>
      <c r="O2" s="39">
        <f>COUNTIF(Vertices[Eigenvector Centrality],"&gt;= "&amp;N2)-COUNTIF(Vertices[Eigenvector Centrality],"&gt;="&amp;N3)</f>
        <v>152</v>
      </c>
      <c r="P2" s="38">
        <f>MIN(Vertices[PageRank])</f>
        <v>0.003874</v>
      </c>
      <c r="Q2" s="39">
        <f>COUNTIF(Vertices[PageRank],"&gt;= "&amp;P2)-COUNTIF(Vertices[PageRank],"&gt;="&amp;P3)</f>
        <v>202</v>
      </c>
      <c r="R2" s="38">
        <f>MIN(Vertices[Clustering Coefficient])</f>
        <v>0</v>
      </c>
      <c r="S2" s="44">
        <f>COUNTIF(Vertices[Clustering Coefficient],"&gt;= "&amp;R2)-COUNTIF(Vertices[Clustering Coefficient],"&gt;="&amp;R3)</f>
        <v>214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2.0294117647058822</v>
      </c>
      <c r="G3" s="41">
        <f>COUNTIF(Vertices[In-Degree],"&gt;= "&amp;F3)-COUNTIF(Vertices[In-Degree],"&gt;="&amp;F4)</f>
        <v>12</v>
      </c>
      <c r="H3" s="40">
        <f aca="true" t="shared" si="3" ref="H3:H35">H2+($H$36-$H$2)/BinDivisor</f>
        <v>1.7058823529411766</v>
      </c>
      <c r="I3" s="41">
        <f>COUNTIF(Vertices[Out-Degree],"&gt;= "&amp;H3)-COUNTIF(Vertices[Out-Degree],"&gt;="&amp;H4)</f>
        <v>27</v>
      </c>
      <c r="J3" s="40">
        <f aca="true" t="shared" si="4" ref="J3:J35">J2+($J$36-$J$2)/BinDivisor</f>
        <v>407.76960785294114</v>
      </c>
      <c r="K3" s="41">
        <f>COUNTIF(Vertices[Betweenness Centrality],"&gt;= "&amp;J3)-COUNTIF(Vertices[Betweenness Centrality],"&gt;="&amp;J4)</f>
        <v>2</v>
      </c>
      <c r="L3" s="40">
        <f aca="true" t="shared" si="5" ref="L3:L35">L2+($L$36-$L$2)/BinDivisor</f>
        <v>0.008282264705882352</v>
      </c>
      <c r="M3" s="41">
        <f>COUNTIF(Vertices[Closeness Centrality],"&gt;= "&amp;L3)-COUNTIF(Vertices[Closeness Centrality],"&gt;="&amp;L4)</f>
        <v>20</v>
      </c>
      <c r="N3" s="40">
        <f aca="true" t="shared" si="6" ref="N3:N35">N2+($N$36-$N$2)/BinDivisor</f>
        <v>0.021154823529411764</v>
      </c>
      <c r="O3" s="41">
        <f>COUNTIF(Vertices[Eigenvector Centrality],"&gt;= "&amp;N3)-COUNTIF(Vertices[Eigenvector Centrality],"&gt;="&amp;N4)</f>
        <v>3</v>
      </c>
      <c r="P3" s="40">
        <f aca="true" t="shared" si="7" ref="P3:P35">P2+($P$36-$P$2)/BinDivisor</f>
        <v>0.0048365</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224</v>
      </c>
      <c r="D4" s="33">
        <f t="shared" si="1"/>
        <v>0</v>
      </c>
      <c r="E4" s="3">
        <f>COUNTIF(Vertices[Degree],"&gt;= "&amp;D4)-COUNTIF(Vertices[Degree],"&gt;="&amp;D5)</f>
        <v>0</v>
      </c>
      <c r="F4" s="38">
        <f t="shared" si="2"/>
        <v>4.0588235294117645</v>
      </c>
      <c r="G4" s="39">
        <f>COUNTIF(Vertices[In-Degree],"&gt;= "&amp;F4)-COUNTIF(Vertices[In-Degree],"&gt;="&amp;F5)</f>
        <v>5</v>
      </c>
      <c r="H4" s="38">
        <f t="shared" si="3"/>
        <v>2.4117647058823533</v>
      </c>
      <c r="I4" s="39">
        <f>COUNTIF(Vertices[Out-Degree],"&gt;= "&amp;H4)-COUNTIF(Vertices[Out-Degree],"&gt;="&amp;H5)</f>
        <v>2</v>
      </c>
      <c r="J4" s="38">
        <f t="shared" si="4"/>
        <v>815.5392157058823</v>
      </c>
      <c r="K4" s="39">
        <f>COUNTIF(Vertices[Betweenness Centrality],"&gt;= "&amp;J4)-COUNTIF(Vertices[Betweenness Centrality],"&gt;="&amp;J5)</f>
        <v>3</v>
      </c>
      <c r="L4" s="38">
        <f t="shared" si="5"/>
        <v>0.016564529411764704</v>
      </c>
      <c r="M4" s="39">
        <f>COUNTIF(Vertices[Closeness Centrality],"&gt;= "&amp;L4)-COUNTIF(Vertices[Closeness Centrality],"&gt;="&amp;L5)</f>
        <v>20</v>
      </c>
      <c r="N4" s="38">
        <f t="shared" si="6"/>
        <v>0.04230964705882353</v>
      </c>
      <c r="O4" s="39">
        <f>COUNTIF(Vertices[Eigenvector Centrality],"&gt;= "&amp;N4)-COUNTIF(Vertices[Eigenvector Centrality],"&gt;="&amp;N5)</f>
        <v>0</v>
      </c>
      <c r="P4" s="38">
        <f t="shared" si="7"/>
        <v>0.0057989999999999995</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6.088235294117647</v>
      </c>
      <c r="G5" s="41">
        <f>COUNTIF(Vertices[In-Degree],"&gt;= "&amp;F5)-COUNTIF(Vertices[In-Degree],"&gt;="&amp;F6)</f>
        <v>2</v>
      </c>
      <c r="H5" s="40">
        <f t="shared" si="3"/>
        <v>3.11764705882353</v>
      </c>
      <c r="I5" s="41">
        <f>COUNTIF(Vertices[Out-Degree],"&gt;= "&amp;H5)-COUNTIF(Vertices[Out-Degree],"&gt;="&amp;H6)</f>
        <v>0</v>
      </c>
      <c r="J5" s="40">
        <f t="shared" si="4"/>
        <v>1223.3088235588234</v>
      </c>
      <c r="K5" s="41">
        <f>COUNTIF(Vertices[Betweenness Centrality],"&gt;= "&amp;J5)-COUNTIF(Vertices[Betweenness Centrality],"&gt;="&amp;J6)</f>
        <v>2</v>
      </c>
      <c r="L5" s="40">
        <f t="shared" si="5"/>
        <v>0.024846794117647057</v>
      </c>
      <c r="M5" s="41">
        <f>COUNTIF(Vertices[Closeness Centrality],"&gt;= "&amp;L5)-COUNTIF(Vertices[Closeness Centrality],"&gt;="&amp;L6)</f>
        <v>4</v>
      </c>
      <c r="N5" s="40">
        <f t="shared" si="6"/>
        <v>0.06346447058823529</v>
      </c>
      <c r="O5" s="41">
        <f>COUNTIF(Vertices[Eigenvector Centrality],"&gt;= "&amp;N5)-COUNTIF(Vertices[Eigenvector Centrality],"&gt;="&amp;N6)</f>
        <v>50</v>
      </c>
      <c r="P5" s="40">
        <f t="shared" si="7"/>
        <v>0.006761499999999999</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262</v>
      </c>
      <c r="D6" s="33">
        <f t="shared" si="1"/>
        <v>0</v>
      </c>
      <c r="E6" s="3">
        <f>COUNTIF(Vertices[Degree],"&gt;= "&amp;D6)-COUNTIF(Vertices[Degree],"&gt;="&amp;D7)</f>
        <v>0</v>
      </c>
      <c r="F6" s="38">
        <f t="shared" si="2"/>
        <v>8.117647058823529</v>
      </c>
      <c r="G6" s="39">
        <f>COUNTIF(Vertices[In-Degree],"&gt;= "&amp;F6)-COUNTIF(Vertices[In-Degree],"&gt;="&amp;F7)</f>
        <v>3</v>
      </c>
      <c r="H6" s="38">
        <f t="shared" si="3"/>
        <v>3.8235294117647065</v>
      </c>
      <c r="I6" s="39">
        <f>COUNTIF(Vertices[Out-Degree],"&gt;= "&amp;H6)-COUNTIF(Vertices[Out-Degree],"&gt;="&amp;H7)</f>
        <v>1</v>
      </c>
      <c r="J6" s="38">
        <f t="shared" si="4"/>
        <v>1631.0784314117645</v>
      </c>
      <c r="K6" s="39">
        <f>COUNTIF(Vertices[Betweenness Centrality],"&gt;= "&amp;J6)-COUNTIF(Vertices[Betweenness Centrality],"&gt;="&amp;J7)</f>
        <v>3</v>
      </c>
      <c r="L6" s="38">
        <f t="shared" si="5"/>
        <v>0.03312905882352941</v>
      </c>
      <c r="M6" s="39">
        <f>COUNTIF(Vertices[Closeness Centrality],"&gt;= "&amp;L6)-COUNTIF(Vertices[Closeness Centrality],"&gt;="&amp;L7)</f>
        <v>1</v>
      </c>
      <c r="N6" s="38">
        <f t="shared" si="6"/>
        <v>0.08461929411764706</v>
      </c>
      <c r="O6" s="39">
        <f>COUNTIF(Vertices[Eigenvector Centrality],"&gt;= "&amp;N6)-COUNTIF(Vertices[Eigenvector Centrality],"&gt;="&amp;N7)</f>
        <v>17</v>
      </c>
      <c r="P6" s="38">
        <f t="shared" si="7"/>
        <v>0.007723999999999999</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126</v>
      </c>
      <c r="D7" s="33">
        <f t="shared" si="1"/>
        <v>0</v>
      </c>
      <c r="E7" s="3">
        <f>COUNTIF(Vertices[Degree],"&gt;= "&amp;D7)-COUNTIF(Vertices[Degree],"&gt;="&amp;D8)</f>
        <v>0</v>
      </c>
      <c r="F7" s="40">
        <f t="shared" si="2"/>
        <v>10.147058823529411</v>
      </c>
      <c r="G7" s="41">
        <f>COUNTIF(Vertices[In-Degree],"&gt;= "&amp;F7)-COUNTIF(Vertices[In-Degree],"&gt;="&amp;F8)</f>
        <v>0</v>
      </c>
      <c r="H7" s="40">
        <f t="shared" si="3"/>
        <v>4.529411764705883</v>
      </c>
      <c r="I7" s="41">
        <f>COUNTIF(Vertices[Out-Degree],"&gt;= "&amp;H7)-COUNTIF(Vertices[Out-Degree],"&gt;="&amp;H8)</f>
        <v>1</v>
      </c>
      <c r="J7" s="40">
        <f t="shared" si="4"/>
        <v>2038.8480392647057</v>
      </c>
      <c r="K7" s="41">
        <f>COUNTIF(Vertices[Betweenness Centrality],"&gt;= "&amp;J7)-COUNTIF(Vertices[Betweenness Centrality],"&gt;="&amp;J8)</f>
        <v>1</v>
      </c>
      <c r="L7" s="40">
        <f t="shared" si="5"/>
        <v>0.04141132352941176</v>
      </c>
      <c r="M7" s="41">
        <f>COUNTIF(Vertices[Closeness Centrality],"&gt;= "&amp;L7)-COUNTIF(Vertices[Closeness Centrality],"&gt;="&amp;L8)</f>
        <v>0</v>
      </c>
      <c r="N7" s="40">
        <f t="shared" si="6"/>
        <v>0.10577411764705882</v>
      </c>
      <c r="O7" s="41">
        <f>COUNTIF(Vertices[Eigenvector Centrality],"&gt;= "&amp;N7)-COUNTIF(Vertices[Eigenvector Centrality],"&gt;="&amp;N8)</f>
        <v>1</v>
      </c>
      <c r="P7" s="40">
        <f t="shared" si="7"/>
        <v>0.0086865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388</v>
      </c>
      <c r="D8" s="33">
        <f t="shared" si="1"/>
        <v>0</v>
      </c>
      <c r="E8" s="3">
        <f>COUNTIF(Vertices[Degree],"&gt;= "&amp;D8)-COUNTIF(Vertices[Degree],"&gt;="&amp;D9)</f>
        <v>0</v>
      </c>
      <c r="F8" s="38">
        <f t="shared" si="2"/>
        <v>12.176470588235293</v>
      </c>
      <c r="G8" s="39">
        <f>COUNTIF(Vertices[In-Degree],"&gt;= "&amp;F8)-COUNTIF(Vertices[In-Degree],"&gt;="&amp;F9)</f>
        <v>0</v>
      </c>
      <c r="H8" s="38">
        <f t="shared" si="3"/>
        <v>5.23529411764706</v>
      </c>
      <c r="I8" s="39">
        <f>COUNTIF(Vertices[Out-Degree],"&gt;= "&amp;H8)-COUNTIF(Vertices[Out-Degree],"&gt;="&amp;H9)</f>
        <v>0</v>
      </c>
      <c r="J8" s="38">
        <f t="shared" si="4"/>
        <v>2446.617647117647</v>
      </c>
      <c r="K8" s="39">
        <f>COUNTIF(Vertices[Betweenness Centrality],"&gt;= "&amp;J8)-COUNTIF(Vertices[Betweenness Centrality],"&gt;="&amp;J9)</f>
        <v>0</v>
      </c>
      <c r="L8" s="38">
        <f t="shared" si="5"/>
        <v>0.04969358823529411</v>
      </c>
      <c r="M8" s="39">
        <f>COUNTIF(Vertices[Closeness Centrality],"&gt;= "&amp;L8)-COUNTIF(Vertices[Closeness Centrality],"&gt;="&amp;L9)</f>
        <v>0</v>
      </c>
      <c r="N8" s="38">
        <f t="shared" si="6"/>
        <v>0.12692894117647058</v>
      </c>
      <c r="O8" s="39">
        <f>COUNTIF(Vertices[Eigenvector Centrality],"&gt;= "&amp;N8)-COUNTIF(Vertices[Eigenvector Centrality],"&gt;="&amp;N9)</f>
        <v>0</v>
      </c>
      <c r="P8" s="38">
        <f t="shared" si="7"/>
        <v>0.009649</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14.205882352941176</v>
      </c>
      <c r="G9" s="41">
        <f>COUNTIF(Vertices[In-Degree],"&gt;= "&amp;F9)-COUNTIF(Vertices[In-Degree],"&gt;="&amp;F10)</f>
        <v>0</v>
      </c>
      <c r="H9" s="40">
        <f t="shared" si="3"/>
        <v>5.941176470588236</v>
      </c>
      <c r="I9" s="41">
        <f>COUNTIF(Vertices[Out-Degree],"&gt;= "&amp;H9)-COUNTIF(Vertices[Out-Degree],"&gt;="&amp;H10)</f>
        <v>1</v>
      </c>
      <c r="J9" s="40">
        <f t="shared" si="4"/>
        <v>2854.387254970588</v>
      </c>
      <c r="K9" s="41">
        <f>COUNTIF(Vertices[Betweenness Centrality],"&gt;= "&amp;J9)-COUNTIF(Vertices[Betweenness Centrality],"&gt;="&amp;J10)</f>
        <v>0</v>
      </c>
      <c r="L9" s="40">
        <f t="shared" si="5"/>
        <v>0.05797585294117646</v>
      </c>
      <c r="M9" s="41">
        <f>COUNTIF(Vertices[Closeness Centrality],"&gt;= "&amp;L9)-COUNTIF(Vertices[Closeness Centrality],"&gt;="&amp;L10)</f>
        <v>0</v>
      </c>
      <c r="N9" s="40">
        <f t="shared" si="6"/>
        <v>0.14808376470588233</v>
      </c>
      <c r="O9" s="41">
        <f>COUNTIF(Vertices[Eigenvector Centrality],"&gt;= "&amp;N9)-COUNTIF(Vertices[Eigenvector Centrality],"&gt;="&amp;N10)</f>
        <v>0</v>
      </c>
      <c r="P9" s="40">
        <f t="shared" si="7"/>
        <v>0.0106115</v>
      </c>
      <c r="Q9" s="41">
        <f>COUNTIF(Vertices[PageRank],"&gt;= "&amp;P9)-COUNTIF(Vertices[PageRank],"&gt;="&amp;P10)</f>
        <v>1</v>
      </c>
      <c r="R9" s="40">
        <f t="shared" si="8"/>
        <v>0.10294117647058824</v>
      </c>
      <c r="S9" s="45">
        <f>COUNTIF(Vertices[Clustering Coefficient],"&gt;= "&amp;R9)-COUNTIF(Vertices[Clustering Coefficient],"&gt;="&amp;R10)</f>
        <v>1</v>
      </c>
      <c r="T9" s="40" t="e">
        <f ca="1" t="shared" si="9"/>
        <v>#REF!</v>
      </c>
      <c r="U9" s="41" t="e">
        <f ca="1" t="shared" si="0"/>
        <v>#REF!</v>
      </c>
    </row>
    <row r="10" spans="1:21" ht="15">
      <c r="A10" s="35" t="s">
        <v>151</v>
      </c>
      <c r="B10" s="35">
        <v>127</v>
      </c>
      <c r="D10" s="33">
        <f t="shared" si="1"/>
        <v>0</v>
      </c>
      <c r="E10" s="3">
        <f>COUNTIF(Vertices[Degree],"&gt;= "&amp;D10)-COUNTIF(Vertices[Degree],"&gt;="&amp;D11)</f>
        <v>0</v>
      </c>
      <c r="F10" s="38">
        <f t="shared" si="2"/>
        <v>16.235294117647058</v>
      </c>
      <c r="G10" s="39">
        <f>COUNTIF(Vertices[In-Degree],"&gt;= "&amp;F10)-COUNTIF(Vertices[In-Degree],"&gt;="&amp;F11)</f>
        <v>1</v>
      </c>
      <c r="H10" s="38">
        <f t="shared" si="3"/>
        <v>6.647058823529413</v>
      </c>
      <c r="I10" s="39">
        <f>COUNTIF(Vertices[Out-Degree],"&gt;= "&amp;H10)-COUNTIF(Vertices[Out-Degree],"&gt;="&amp;H11)</f>
        <v>1</v>
      </c>
      <c r="J10" s="38">
        <f t="shared" si="4"/>
        <v>3262.156862823529</v>
      </c>
      <c r="K10" s="39">
        <f>COUNTIF(Vertices[Betweenness Centrality],"&gt;= "&amp;J10)-COUNTIF(Vertices[Betweenness Centrality],"&gt;="&amp;J11)</f>
        <v>1</v>
      </c>
      <c r="L10" s="38">
        <f t="shared" si="5"/>
        <v>0.06625811764705881</v>
      </c>
      <c r="M10" s="39">
        <f>COUNTIF(Vertices[Closeness Centrality],"&gt;= "&amp;L10)-COUNTIF(Vertices[Closeness Centrality],"&gt;="&amp;L11)</f>
        <v>0</v>
      </c>
      <c r="N10" s="38">
        <f t="shared" si="6"/>
        <v>0.16923858823529409</v>
      </c>
      <c r="O10" s="39">
        <f>COUNTIF(Vertices[Eigenvector Centrality],"&gt;= "&amp;N10)-COUNTIF(Vertices[Eigenvector Centrality],"&gt;="&amp;N11)</f>
        <v>0</v>
      </c>
      <c r="P10" s="38">
        <f t="shared" si="7"/>
        <v>0.011574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18.264705882352942</v>
      </c>
      <c r="G11" s="41">
        <f>COUNTIF(Vertices[In-Degree],"&gt;= "&amp;F11)-COUNTIF(Vertices[In-Degree],"&gt;="&amp;F12)</f>
        <v>0</v>
      </c>
      <c r="H11" s="40">
        <f t="shared" si="3"/>
        <v>7.35294117647059</v>
      </c>
      <c r="I11" s="41">
        <f>COUNTIF(Vertices[Out-Degree],"&gt;= "&amp;H11)-COUNTIF(Vertices[Out-Degree],"&gt;="&amp;H12)</f>
        <v>0</v>
      </c>
      <c r="J11" s="40">
        <f t="shared" si="4"/>
        <v>3669.92647067647</v>
      </c>
      <c r="K11" s="41">
        <f>COUNTIF(Vertices[Betweenness Centrality],"&gt;= "&amp;J11)-COUNTIF(Vertices[Betweenness Centrality],"&gt;="&amp;J12)</f>
        <v>1</v>
      </c>
      <c r="L11" s="40">
        <f t="shared" si="5"/>
        <v>0.07454038235294116</v>
      </c>
      <c r="M11" s="41">
        <f>COUNTIF(Vertices[Closeness Centrality],"&gt;= "&amp;L11)-COUNTIF(Vertices[Closeness Centrality],"&gt;="&amp;L12)</f>
        <v>0</v>
      </c>
      <c r="N11" s="40">
        <f t="shared" si="6"/>
        <v>0.19039341176470584</v>
      </c>
      <c r="O11" s="41">
        <f>COUNTIF(Vertices[Eigenvector Centrality],"&gt;= "&amp;N11)-COUNTIF(Vertices[Eigenvector Centrality],"&gt;="&amp;N12)</f>
        <v>0</v>
      </c>
      <c r="P11" s="40">
        <f t="shared" si="7"/>
        <v>0.012536499999999999</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170</v>
      </c>
      <c r="B12" s="35">
        <v>0.1717171717171717</v>
      </c>
      <c r="D12" s="33">
        <f t="shared" si="1"/>
        <v>0</v>
      </c>
      <c r="E12" s="3">
        <f>COUNTIF(Vertices[Degree],"&gt;= "&amp;D12)-COUNTIF(Vertices[Degree],"&gt;="&amp;D13)</f>
        <v>0</v>
      </c>
      <c r="F12" s="38">
        <f t="shared" si="2"/>
        <v>20.294117647058826</v>
      </c>
      <c r="G12" s="39">
        <f>COUNTIF(Vertices[In-Degree],"&gt;= "&amp;F12)-COUNTIF(Vertices[In-Degree],"&gt;="&amp;F13)</f>
        <v>0</v>
      </c>
      <c r="H12" s="38">
        <f t="shared" si="3"/>
        <v>8.058823529411766</v>
      </c>
      <c r="I12" s="39">
        <f>COUNTIF(Vertices[Out-Degree],"&gt;= "&amp;H12)-COUNTIF(Vertices[Out-Degree],"&gt;="&amp;H13)</f>
        <v>0</v>
      </c>
      <c r="J12" s="38">
        <f t="shared" si="4"/>
        <v>4077.6960785294114</v>
      </c>
      <c r="K12" s="39">
        <f>COUNTIF(Vertices[Betweenness Centrality],"&gt;= "&amp;J12)-COUNTIF(Vertices[Betweenness Centrality],"&gt;="&amp;J13)</f>
        <v>0</v>
      </c>
      <c r="L12" s="38">
        <f t="shared" si="5"/>
        <v>0.08282264705882351</v>
      </c>
      <c r="M12" s="39">
        <f>COUNTIF(Vertices[Closeness Centrality],"&gt;= "&amp;L12)-COUNTIF(Vertices[Closeness Centrality],"&gt;="&amp;L13)</f>
        <v>1</v>
      </c>
      <c r="N12" s="38">
        <f t="shared" si="6"/>
        <v>0.2115482352941176</v>
      </c>
      <c r="O12" s="39">
        <f>COUNTIF(Vertices[Eigenvector Centrality],"&gt;= "&amp;N12)-COUNTIF(Vertices[Eigenvector Centrality],"&gt;="&amp;N13)</f>
        <v>0</v>
      </c>
      <c r="P12" s="38">
        <f t="shared" si="7"/>
        <v>0.013498999999999999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0.29310344827586204</v>
      </c>
      <c r="D13" s="33">
        <f t="shared" si="1"/>
        <v>0</v>
      </c>
      <c r="E13" s="3">
        <f>COUNTIF(Vertices[Degree],"&gt;= "&amp;D13)-COUNTIF(Vertices[Degree],"&gt;="&amp;D14)</f>
        <v>0</v>
      </c>
      <c r="F13" s="40">
        <f t="shared" si="2"/>
        <v>22.32352941176471</v>
      </c>
      <c r="G13" s="41">
        <f>COUNTIF(Vertices[In-Degree],"&gt;= "&amp;F13)-COUNTIF(Vertices[In-Degree],"&gt;="&amp;F14)</f>
        <v>0</v>
      </c>
      <c r="H13" s="40">
        <f t="shared" si="3"/>
        <v>8.764705882352942</v>
      </c>
      <c r="I13" s="41">
        <f>COUNTIF(Vertices[Out-Degree],"&gt;= "&amp;H13)-COUNTIF(Vertices[Out-Degree],"&gt;="&amp;H14)</f>
        <v>0</v>
      </c>
      <c r="J13" s="40">
        <f t="shared" si="4"/>
        <v>4485.465686382353</v>
      </c>
      <c r="K13" s="41">
        <f>COUNTIF(Vertices[Betweenness Centrality],"&gt;= "&amp;J13)-COUNTIF(Vertices[Betweenness Centrality],"&gt;="&amp;J14)</f>
        <v>0</v>
      </c>
      <c r="L13" s="40">
        <f t="shared" si="5"/>
        <v>0.09110491176470586</v>
      </c>
      <c r="M13" s="41">
        <f>COUNTIF(Vertices[Closeness Centrality],"&gt;= "&amp;L13)-COUNTIF(Vertices[Closeness Centrality],"&gt;="&amp;L14)</f>
        <v>0</v>
      </c>
      <c r="N13" s="40">
        <f t="shared" si="6"/>
        <v>0.23270305882352935</v>
      </c>
      <c r="O13" s="41">
        <f>COUNTIF(Vertices[Eigenvector Centrality],"&gt;= "&amp;N13)-COUNTIF(Vertices[Eigenvector Centrality],"&gt;="&amp;N14)</f>
        <v>0</v>
      </c>
      <c r="P13" s="40">
        <f t="shared" si="7"/>
        <v>0.014461499999999999</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116"/>
      <c r="B14" s="116"/>
      <c r="D14" s="33">
        <f t="shared" si="1"/>
        <v>0</v>
      </c>
      <c r="E14" s="3">
        <f>COUNTIF(Vertices[Degree],"&gt;= "&amp;D14)-COUNTIF(Vertices[Degree],"&gt;="&amp;D15)</f>
        <v>0</v>
      </c>
      <c r="F14" s="38">
        <f t="shared" si="2"/>
        <v>24.352941176470594</v>
      </c>
      <c r="G14" s="39">
        <f>COUNTIF(Vertices[In-Degree],"&gt;= "&amp;F14)-COUNTIF(Vertices[In-Degree],"&gt;="&amp;F15)</f>
        <v>0</v>
      </c>
      <c r="H14" s="38">
        <f t="shared" si="3"/>
        <v>9.470588235294118</v>
      </c>
      <c r="I14" s="39">
        <f>COUNTIF(Vertices[Out-Degree],"&gt;= "&amp;H14)-COUNTIF(Vertices[Out-Degree],"&gt;="&amp;H15)</f>
        <v>0</v>
      </c>
      <c r="J14" s="38">
        <f t="shared" si="4"/>
        <v>4893.235294235294</v>
      </c>
      <c r="K14" s="39">
        <f>COUNTIF(Vertices[Betweenness Centrality],"&gt;= "&amp;J14)-COUNTIF(Vertices[Betweenness Centrality],"&gt;="&amp;J15)</f>
        <v>0</v>
      </c>
      <c r="L14" s="38">
        <f t="shared" si="5"/>
        <v>0.09938717647058821</v>
      </c>
      <c r="M14" s="39">
        <f>COUNTIF(Vertices[Closeness Centrality],"&gt;= "&amp;L14)-COUNTIF(Vertices[Closeness Centrality],"&gt;="&amp;L15)</f>
        <v>11</v>
      </c>
      <c r="N14" s="38">
        <f t="shared" si="6"/>
        <v>0.2538578823529411</v>
      </c>
      <c r="O14" s="39">
        <f>COUNTIF(Vertices[Eigenvector Centrality],"&gt;= "&amp;N14)-COUNTIF(Vertices[Eigenvector Centrality],"&gt;="&amp;N15)</f>
        <v>0</v>
      </c>
      <c r="P14" s="38">
        <f t="shared" si="7"/>
        <v>0.015423999999999998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39</v>
      </c>
      <c r="D15" s="33">
        <f t="shared" si="1"/>
        <v>0</v>
      </c>
      <c r="E15" s="3">
        <f>COUNTIF(Vertices[Degree],"&gt;= "&amp;D15)-COUNTIF(Vertices[Degree],"&gt;="&amp;D16)</f>
        <v>0</v>
      </c>
      <c r="F15" s="40">
        <f t="shared" si="2"/>
        <v>26.382352941176478</v>
      </c>
      <c r="G15" s="41">
        <f>COUNTIF(Vertices[In-Degree],"&gt;= "&amp;F15)-COUNTIF(Vertices[In-Degree],"&gt;="&amp;F16)</f>
        <v>0</v>
      </c>
      <c r="H15" s="40">
        <f t="shared" si="3"/>
        <v>10.176470588235293</v>
      </c>
      <c r="I15" s="41">
        <f>COUNTIF(Vertices[Out-Degree],"&gt;= "&amp;H15)-COUNTIF(Vertices[Out-Degree],"&gt;="&amp;H16)</f>
        <v>0</v>
      </c>
      <c r="J15" s="40">
        <f t="shared" si="4"/>
        <v>5301.004902088234</v>
      </c>
      <c r="K15" s="41">
        <f>COUNTIF(Vertices[Betweenness Centrality],"&gt;= "&amp;J15)-COUNTIF(Vertices[Betweenness Centrality],"&gt;="&amp;J16)</f>
        <v>0</v>
      </c>
      <c r="L15" s="40">
        <f t="shared" si="5"/>
        <v>0.10766944117647057</v>
      </c>
      <c r="M15" s="41">
        <f>COUNTIF(Vertices[Closeness Centrality],"&gt;= "&amp;L15)-COUNTIF(Vertices[Closeness Centrality],"&gt;="&amp;L16)</f>
        <v>1</v>
      </c>
      <c r="N15" s="40">
        <f t="shared" si="6"/>
        <v>0.2750127058823529</v>
      </c>
      <c r="O15" s="41">
        <f>COUNTIF(Vertices[Eigenvector Centrality],"&gt;= "&amp;N15)-COUNTIF(Vertices[Eigenvector Centrality],"&gt;="&amp;N16)</f>
        <v>0</v>
      </c>
      <c r="P15" s="40">
        <f t="shared" si="7"/>
        <v>0.0163865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22</v>
      </c>
      <c r="D16" s="33">
        <f t="shared" si="1"/>
        <v>0</v>
      </c>
      <c r="E16" s="3">
        <f>COUNTIF(Vertices[Degree],"&gt;= "&amp;D16)-COUNTIF(Vertices[Degree],"&gt;="&amp;D17)</f>
        <v>0</v>
      </c>
      <c r="F16" s="38">
        <f t="shared" si="2"/>
        <v>28.411764705882362</v>
      </c>
      <c r="G16" s="39">
        <f>COUNTIF(Vertices[In-Degree],"&gt;= "&amp;F16)-COUNTIF(Vertices[In-Degree],"&gt;="&amp;F17)</f>
        <v>0</v>
      </c>
      <c r="H16" s="38">
        <f t="shared" si="3"/>
        <v>10.88235294117647</v>
      </c>
      <c r="I16" s="39">
        <f>COUNTIF(Vertices[Out-Degree],"&gt;= "&amp;H16)-COUNTIF(Vertices[Out-Degree],"&gt;="&amp;H17)</f>
        <v>0</v>
      </c>
      <c r="J16" s="38">
        <f t="shared" si="4"/>
        <v>5708.774509941175</v>
      </c>
      <c r="K16" s="39">
        <f>COUNTIF(Vertices[Betweenness Centrality],"&gt;= "&amp;J16)-COUNTIF(Vertices[Betweenness Centrality],"&gt;="&amp;J17)</f>
        <v>0</v>
      </c>
      <c r="L16" s="38">
        <f t="shared" si="5"/>
        <v>0.11595170588235292</v>
      </c>
      <c r="M16" s="39">
        <f>COUNTIF(Vertices[Closeness Centrality],"&gt;= "&amp;L16)-COUNTIF(Vertices[Closeness Centrality],"&gt;="&amp;L17)</f>
        <v>9</v>
      </c>
      <c r="N16" s="38">
        <f t="shared" si="6"/>
        <v>0.29616752941176466</v>
      </c>
      <c r="O16" s="39">
        <f>COUNTIF(Vertices[Eigenvector Centrality],"&gt;= "&amp;N16)-COUNTIF(Vertices[Eigenvector Centrality],"&gt;="&amp;N17)</f>
        <v>0</v>
      </c>
      <c r="P16" s="38">
        <f t="shared" si="7"/>
        <v>0.017349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130</v>
      </c>
      <c r="D17" s="33">
        <f t="shared" si="1"/>
        <v>0</v>
      </c>
      <c r="E17" s="3">
        <f>COUNTIF(Vertices[Degree],"&gt;= "&amp;D17)-COUNTIF(Vertices[Degree],"&gt;="&amp;D18)</f>
        <v>0</v>
      </c>
      <c r="F17" s="40">
        <f t="shared" si="2"/>
        <v>30.441176470588246</v>
      </c>
      <c r="G17" s="41">
        <f>COUNTIF(Vertices[In-Degree],"&gt;= "&amp;F17)-COUNTIF(Vertices[In-Degree],"&gt;="&amp;F18)</f>
        <v>0</v>
      </c>
      <c r="H17" s="40">
        <f t="shared" si="3"/>
        <v>11.588235294117645</v>
      </c>
      <c r="I17" s="41">
        <f>COUNTIF(Vertices[Out-Degree],"&gt;= "&amp;H17)-COUNTIF(Vertices[Out-Degree],"&gt;="&amp;H18)</f>
        <v>0</v>
      </c>
      <c r="J17" s="40">
        <f t="shared" si="4"/>
        <v>6116.544117794116</v>
      </c>
      <c r="K17" s="41">
        <f>COUNTIF(Vertices[Betweenness Centrality],"&gt;= "&amp;J17)-COUNTIF(Vertices[Betweenness Centrality],"&gt;="&amp;J18)</f>
        <v>1</v>
      </c>
      <c r="L17" s="40">
        <f t="shared" si="5"/>
        <v>0.12423397058823527</v>
      </c>
      <c r="M17" s="41">
        <f>COUNTIF(Vertices[Closeness Centrality],"&gt;= "&amp;L17)-COUNTIF(Vertices[Closeness Centrality],"&gt;="&amp;L18)</f>
        <v>11</v>
      </c>
      <c r="N17" s="40">
        <f t="shared" si="6"/>
        <v>0.31732235294117644</v>
      </c>
      <c r="O17" s="41">
        <f>COUNTIF(Vertices[Eigenvector Centrality],"&gt;= "&amp;N17)-COUNTIF(Vertices[Eigenvector Centrality],"&gt;="&amp;N18)</f>
        <v>0</v>
      </c>
      <c r="P17" s="40">
        <f t="shared" si="7"/>
        <v>0.0183115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262</v>
      </c>
      <c r="D18" s="33">
        <f t="shared" si="1"/>
        <v>0</v>
      </c>
      <c r="E18" s="3">
        <f>COUNTIF(Vertices[Degree],"&gt;= "&amp;D18)-COUNTIF(Vertices[Degree],"&gt;="&amp;D19)</f>
        <v>0</v>
      </c>
      <c r="F18" s="38">
        <f t="shared" si="2"/>
        <v>32.47058823529413</v>
      </c>
      <c r="G18" s="39">
        <f>COUNTIF(Vertices[In-Degree],"&gt;= "&amp;F18)-COUNTIF(Vertices[In-Degree],"&gt;="&amp;F19)</f>
        <v>0</v>
      </c>
      <c r="H18" s="38">
        <f t="shared" si="3"/>
        <v>12.29411764705882</v>
      </c>
      <c r="I18" s="39">
        <f>COUNTIF(Vertices[Out-Degree],"&gt;= "&amp;H18)-COUNTIF(Vertices[Out-Degree],"&gt;="&amp;H19)</f>
        <v>0</v>
      </c>
      <c r="J18" s="38">
        <f t="shared" si="4"/>
        <v>6524.313725647056</v>
      </c>
      <c r="K18" s="39">
        <f>COUNTIF(Vertices[Betweenness Centrality],"&gt;= "&amp;J18)-COUNTIF(Vertices[Betweenness Centrality],"&gt;="&amp;J19)</f>
        <v>0</v>
      </c>
      <c r="L18" s="38">
        <f t="shared" si="5"/>
        <v>0.13251623529411763</v>
      </c>
      <c r="M18" s="39">
        <f>COUNTIF(Vertices[Closeness Centrality],"&gt;= "&amp;L18)-COUNTIF(Vertices[Closeness Centrality],"&gt;="&amp;L19)</f>
        <v>0</v>
      </c>
      <c r="N18" s="38">
        <f t="shared" si="6"/>
        <v>0.3384771764705882</v>
      </c>
      <c r="O18" s="39">
        <f>COUNTIF(Vertices[Eigenvector Centrality],"&gt;= "&amp;N18)-COUNTIF(Vertices[Eigenvector Centrality],"&gt;="&amp;N19)</f>
        <v>0</v>
      </c>
      <c r="P18" s="38">
        <f t="shared" si="7"/>
        <v>0.019274000000000003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34.500000000000014</v>
      </c>
      <c r="G19" s="41">
        <f>COUNTIF(Vertices[In-Degree],"&gt;= "&amp;F19)-COUNTIF(Vertices[In-Degree],"&gt;="&amp;F20)</f>
        <v>0</v>
      </c>
      <c r="H19" s="40">
        <f t="shared" si="3"/>
        <v>12.999999999999996</v>
      </c>
      <c r="I19" s="41">
        <f>COUNTIF(Vertices[Out-Degree],"&gt;= "&amp;H19)-COUNTIF(Vertices[Out-Degree],"&gt;="&amp;H20)</f>
        <v>0</v>
      </c>
      <c r="J19" s="40">
        <f t="shared" si="4"/>
        <v>6932.083333499997</v>
      </c>
      <c r="K19" s="41">
        <f>COUNTIF(Vertices[Betweenness Centrality],"&gt;= "&amp;J19)-COUNTIF(Vertices[Betweenness Centrality],"&gt;="&amp;J20)</f>
        <v>0</v>
      </c>
      <c r="L19" s="40">
        <f t="shared" si="5"/>
        <v>0.1407985</v>
      </c>
      <c r="M19" s="41">
        <f>COUNTIF(Vertices[Closeness Centrality],"&gt;= "&amp;L19)-COUNTIF(Vertices[Closeness Centrality],"&gt;="&amp;L20)</f>
        <v>15</v>
      </c>
      <c r="N19" s="40">
        <f t="shared" si="6"/>
        <v>0.359632</v>
      </c>
      <c r="O19" s="41">
        <f>COUNTIF(Vertices[Eigenvector Centrality],"&gt;= "&amp;N19)-COUNTIF(Vertices[Eigenvector Centrality],"&gt;="&amp;N20)</f>
        <v>0</v>
      </c>
      <c r="P19" s="40">
        <f t="shared" si="7"/>
        <v>0.020236500000000004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10</v>
      </c>
      <c r="D20" s="33">
        <f t="shared" si="1"/>
        <v>0</v>
      </c>
      <c r="E20" s="3">
        <f>COUNTIF(Vertices[Degree],"&gt;= "&amp;D20)-COUNTIF(Vertices[Degree],"&gt;="&amp;D21)</f>
        <v>0</v>
      </c>
      <c r="F20" s="38">
        <f t="shared" si="2"/>
        <v>36.5294117647059</v>
      </c>
      <c r="G20" s="39">
        <f>COUNTIF(Vertices[In-Degree],"&gt;= "&amp;F20)-COUNTIF(Vertices[In-Degree],"&gt;="&amp;F21)</f>
        <v>0</v>
      </c>
      <c r="H20" s="38">
        <f t="shared" si="3"/>
        <v>13.705882352941172</v>
      </c>
      <c r="I20" s="39">
        <f>COUNTIF(Vertices[Out-Degree],"&gt;= "&amp;H20)-COUNTIF(Vertices[Out-Degree],"&gt;="&amp;H21)</f>
        <v>0</v>
      </c>
      <c r="J20" s="38">
        <f t="shared" si="4"/>
        <v>7339.852941352938</v>
      </c>
      <c r="K20" s="39">
        <f>COUNTIF(Vertices[Betweenness Centrality],"&gt;= "&amp;J20)-COUNTIF(Vertices[Betweenness Centrality],"&gt;="&amp;J21)</f>
        <v>0</v>
      </c>
      <c r="L20" s="38">
        <f t="shared" si="5"/>
        <v>0.14908076470588236</v>
      </c>
      <c r="M20" s="39">
        <f>COUNTIF(Vertices[Closeness Centrality],"&gt;= "&amp;L20)-COUNTIF(Vertices[Closeness Centrality],"&gt;="&amp;L21)</f>
        <v>2</v>
      </c>
      <c r="N20" s="38">
        <f t="shared" si="6"/>
        <v>0.3807868235294118</v>
      </c>
      <c r="O20" s="39">
        <f>COUNTIF(Vertices[Eigenvector Centrality],"&gt;= "&amp;N20)-COUNTIF(Vertices[Eigenvector Centrality],"&gt;="&amp;N21)</f>
        <v>0</v>
      </c>
      <c r="P20" s="38">
        <f t="shared" si="7"/>
        <v>0.021199000000000006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3.588512</v>
      </c>
      <c r="D21" s="33">
        <f t="shared" si="1"/>
        <v>0</v>
      </c>
      <c r="E21" s="3">
        <f>COUNTIF(Vertices[Degree],"&gt;= "&amp;D21)-COUNTIF(Vertices[Degree],"&gt;="&amp;D22)</f>
        <v>0</v>
      </c>
      <c r="F21" s="40">
        <f t="shared" si="2"/>
        <v>38.55882352941178</v>
      </c>
      <c r="G21" s="41">
        <f>COUNTIF(Vertices[In-Degree],"&gt;= "&amp;F21)-COUNTIF(Vertices[In-Degree],"&gt;="&amp;F22)</f>
        <v>0</v>
      </c>
      <c r="H21" s="40">
        <f t="shared" si="3"/>
        <v>14.411764705882348</v>
      </c>
      <c r="I21" s="41">
        <f>COUNTIF(Vertices[Out-Degree],"&gt;= "&amp;H21)-COUNTIF(Vertices[Out-Degree],"&gt;="&amp;H22)</f>
        <v>0</v>
      </c>
      <c r="J21" s="40">
        <f t="shared" si="4"/>
        <v>7747.622549205878</v>
      </c>
      <c r="K21" s="41">
        <f>COUNTIF(Vertices[Betweenness Centrality],"&gt;= "&amp;J21)-COUNTIF(Vertices[Betweenness Centrality],"&gt;="&amp;J22)</f>
        <v>0</v>
      </c>
      <c r="L21" s="40">
        <f t="shared" si="5"/>
        <v>0.15736302941176472</v>
      </c>
      <c r="M21" s="41">
        <f>COUNTIF(Vertices[Closeness Centrality],"&gt;= "&amp;L21)-COUNTIF(Vertices[Closeness Centrality],"&gt;="&amp;L22)</f>
        <v>8</v>
      </c>
      <c r="N21" s="40">
        <f t="shared" si="6"/>
        <v>0.40194164705882357</v>
      </c>
      <c r="O21" s="41">
        <f>COUNTIF(Vertices[Eigenvector Centrality],"&gt;= "&amp;N21)-COUNTIF(Vertices[Eigenvector Centrality],"&gt;="&amp;N22)</f>
        <v>0</v>
      </c>
      <c r="P21" s="40">
        <f t="shared" si="7"/>
        <v>0.022161500000000008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40.588235294117666</v>
      </c>
      <c r="G22" s="39">
        <f>COUNTIF(Vertices[In-Degree],"&gt;= "&amp;F22)-COUNTIF(Vertices[In-Degree],"&gt;="&amp;F23)</f>
        <v>0</v>
      </c>
      <c r="H22" s="38">
        <f t="shared" si="3"/>
        <v>15.117647058823524</v>
      </c>
      <c r="I22" s="39">
        <f>COUNTIF(Vertices[Out-Degree],"&gt;= "&amp;H22)-COUNTIF(Vertices[Out-Degree],"&gt;="&amp;H23)</f>
        <v>0</v>
      </c>
      <c r="J22" s="38">
        <f t="shared" si="4"/>
        <v>8155.392157058819</v>
      </c>
      <c r="K22" s="39">
        <f>COUNTIF(Vertices[Betweenness Centrality],"&gt;= "&amp;J22)-COUNTIF(Vertices[Betweenness Centrality],"&gt;="&amp;J23)</f>
        <v>0</v>
      </c>
      <c r="L22" s="38">
        <f t="shared" si="5"/>
        <v>0.16564529411764708</v>
      </c>
      <c r="M22" s="39">
        <f>COUNTIF(Vertices[Closeness Centrality],"&gt;= "&amp;L22)-COUNTIF(Vertices[Closeness Centrality],"&gt;="&amp;L23)</f>
        <v>1</v>
      </c>
      <c r="N22" s="38">
        <f t="shared" si="6"/>
        <v>0.42309647058823535</v>
      </c>
      <c r="O22" s="39">
        <f>COUNTIF(Vertices[Eigenvector Centrality],"&gt;= "&amp;N22)-COUNTIF(Vertices[Eigenvector Centrality],"&gt;="&amp;N23)</f>
        <v>0</v>
      </c>
      <c r="P22" s="38">
        <f t="shared" si="7"/>
        <v>0.02312400000000001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0.0046444586803331194</v>
      </c>
      <c r="D23" s="33">
        <f t="shared" si="1"/>
        <v>0</v>
      </c>
      <c r="E23" s="3">
        <f>COUNTIF(Vertices[Degree],"&gt;= "&amp;D23)-COUNTIF(Vertices[Degree],"&gt;="&amp;D24)</f>
        <v>0</v>
      </c>
      <c r="F23" s="40">
        <f t="shared" si="2"/>
        <v>42.61764705882355</v>
      </c>
      <c r="G23" s="41">
        <f>COUNTIF(Vertices[In-Degree],"&gt;= "&amp;F23)-COUNTIF(Vertices[In-Degree],"&gt;="&amp;F24)</f>
        <v>0</v>
      </c>
      <c r="H23" s="40">
        <f t="shared" si="3"/>
        <v>15.8235294117647</v>
      </c>
      <c r="I23" s="41">
        <f>COUNTIF(Vertices[Out-Degree],"&gt;= "&amp;H23)-COUNTIF(Vertices[Out-Degree],"&gt;="&amp;H24)</f>
        <v>0</v>
      </c>
      <c r="J23" s="40">
        <f t="shared" si="4"/>
        <v>8563.16176491176</v>
      </c>
      <c r="K23" s="41">
        <f>COUNTIF(Vertices[Betweenness Centrality],"&gt;= "&amp;J23)-COUNTIF(Vertices[Betweenness Centrality],"&gt;="&amp;J24)</f>
        <v>0</v>
      </c>
      <c r="L23" s="40">
        <f t="shared" si="5"/>
        <v>0.17392755882352945</v>
      </c>
      <c r="M23" s="41">
        <f>COUNTIF(Vertices[Closeness Centrality],"&gt;= "&amp;L23)-COUNTIF(Vertices[Closeness Centrality],"&gt;="&amp;L24)</f>
        <v>0</v>
      </c>
      <c r="N23" s="40">
        <f t="shared" si="6"/>
        <v>0.44425129411764713</v>
      </c>
      <c r="O23" s="41">
        <f>COUNTIF(Vertices[Eigenvector Centrality],"&gt;= "&amp;N23)-COUNTIF(Vertices[Eigenvector Centrality],"&gt;="&amp;N24)</f>
        <v>0</v>
      </c>
      <c r="P23" s="40">
        <f t="shared" si="7"/>
        <v>0.02408650000000001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2087</v>
      </c>
      <c r="B24" s="35">
        <v>0.515007</v>
      </c>
      <c r="D24" s="33">
        <f t="shared" si="1"/>
        <v>0</v>
      </c>
      <c r="E24" s="3">
        <f>COUNTIF(Vertices[Degree],"&gt;= "&amp;D24)-COUNTIF(Vertices[Degree],"&gt;="&amp;D25)</f>
        <v>0</v>
      </c>
      <c r="F24" s="38">
        <f t="shared" si="2"/>
        <v>44.647058823529434</v>
      </c>
      <c r="G24" s="39">
        <f>COUNTIF(Vertices[In-Degree],"&gt;= "&amp;F24)-COUNTIF(Vertices[In-Degree],"&gt;="&amp;F25)</f>
        <v>0</v>
      </c>
      <c r="H24" s="38">
        <f t="shared" si="3"/>
        <v>16.529411764705877</v>
      </c>
      <c r="I24" s="39">
        <f>COUNTIF(Vertices[Out-Degree],"&gt;= "&amp;H24)-COUNTIF(Vertices[Out-Degree],"&gt;="&amp;H25)</f>
        <v>0</v>
      </c>
      <c r="J24" s="38">
        <f t="shared" si="4"/>
        <v>8970.9313727647</v>
      </c>
      <c r="K24" s="39">
        <f>COUNTIF(Vertices[Betweenness Centrality],"&gt;= "&amp;J24)-COUNTIF(Vertices[Betweenness Centrality],"&gt;="&amp;J25)</f>
        <v>0</v>
      </c>
      <c r="L24" s="38">
        <f t="shared" si="5"/>
        <v>0.1822098235294118</v>
      </c>
      <c r="M24" s="39">
        <f>COUNTIF(Vertices[Closeness Centrality],"&gt;= "&amp;L24)-COUNTIF(Vertices[Closeness Centrality],"&gt;="&amp;L25)</f>
        <v>58</v>
      </c>
      <c r="N24" s="38">
        <f t="shared" si="6"/>
        <v>0.4654061176470589</v>
      </c>
      <c r="O24" s="39">
        <f>COUNTIF(Vertices[Eigenvector Centrality],"&gt;= "&amp;N24)-COUNTIF(Vertices[Eigenvector Centrality],"&gt;="&amp;N25)</f>
        <v>0</v>
      </c>
      <c r="P24" s="38">
        <f t="shared" si="7"/>
        <v>0.025049000000000012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16"/>
      <c r="B25" s="116"/>
      <c r="D25" s="33">
        <f t="shared" si="1"/>
        <v>0</v>
      </c>
      <c r="E25" s="3">
        <f>COUNTIF(Vertices[Degree],"&gt;= "&amp;D25)-COUNTIF(Vertices[Degree],"&gt;="&amp;D26)</f>
        <v>0</v>
      </c>
      <c r="F25" s="40">
        <f t="shared" si="2"/>
        <v>46.67647058823532</v>
      </c>
      <c r="G25" s="41">
        <f>COUNTIF(Vertices[In-Degree],"&gt;= "&amp;F25)-COUNTIF(Vertices[In-Degree],"&gt;="&amp;F26)</f>
        <v>0</v>
      </c>
      <c r="H25" s="40">
        <f t="shared" si="3"/>
        <v>17.235294117647054</v>
      </c>
      <c r="I25" s="41">
        <f>COUNTIF(Vertices[Out-Degree],"&gt;= "&amp;H25)-COUNTIF(Vertices[Out-Degree],"&gt;="&amp;H26)</f>
        <v>0</v>
      </c>
      <c r="J25" s="40">
        <f t="shared" si="4"/>
        <v>9378.700980617641</v>
      </c>
      <c r="K25" s="41">
        <f>COUNTIF(Vertices[Betweenness Centrality],"&gt;= "&amp;J25)-COUNTIF(Vertices[Betweenness Centrality],"&gt;="&amp;J26)</f>
        <v>0</v>
      </c>
      <c r="L25" s="40">
        <f t="shared" si="5"/>
        <v>0.19049208823529418</v>
      </c>
      <c r="M25" s="41">
        <f>COUNTIF(Vertices[Closeness Centrality],"&gt;= "&amp;L25)-COUNTIF(Vertices[Closeness Centrality],"&gt;="&amp;L26)</f>
        <v>6</v>
      </c>
      <c r="N25" s="40">
        <f t="shared" si="6"/>
        <v>0.4865609411764707</v>
      </c>
      <c r="O25" s="41">
        <f>COUNTIF(Vertices[Eigenvector Centrality],"&gt;= "&amp;N25)-COUNTIF(Vertices[Eigenvector Centrality],"&gt;="&amp;N26)</f>
        <v>0</v>
      </c>
      <c r="P25" s="40">
        <f t="shared" si="7"/>
        <v>0.026011500000000014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2088</v>
      </c>
      <c r="B26" s="35" t="s">
        <v>2103</v>
      </c>
      <c r="D26" s="33">
        <f t="shared" si="1"/>
        <v>0</v>
      </c>
      <c r="E26" s="3">
        <f>COUNTIF(Vertices[Degree],"&gt;= "&amp;D26)-COUNTIF(Vertices[Degree],"&gt;="&amp;D27)</f>
        <v>0</v>
      </c>
      <c r="F26" s="38">
        <f t="shared" si="2"/>
        <v>48.7058823529412</v>
      </c>
      <c r="G26" s="39">
        <f>COUNTIF(Vertices[In-Degree],"&gt;= "&amp;F26)-COUNTIF(Vertices[In-Degree],"&gt;="&amp;F27)</f>
        <v>0</v>
      </c>
      <c r="H26" s="38">
        <f t="shared" si="3"/>
        <v>17.941176470588232</v>
      </c>
      <c r="I26" s="39">
        <f>COUNTIF(Vertices[Out-Degree],"&gt;= "&amp;H26)-COUNTIF(Vertices[Out-Degree],"&gt;="&amp;H27)</f>
        <v>0</v>
      </c>
      <c r="J26" s="38">
        <f t="shared" si="4"/>
        <v>9786.470588470582</v>
      </c>
      <c r="K26" s="39">
        <f>COUNTIF(Vertices[Betweenness Centrality],"&gt;= "&amp;J26)-COUNTIF(Vertices[Betweenness Centrality],"&gt;="&amp;J27)</f>
        <v>0</v>
      </c>
      <c r="L26" s="38">
        <f t="shared" si="5"/>
        <v>0.19877435294117654</v>
      </c>
      <c r="M26" s="39">
        <f>COUNTIF(Vertices[Closeness Centrality],"&gt;= "&amp;L26)-COUNTIF(Vertices[Closeness Centrality],"&gt;="&amp;L27)</f>
        <v>2</v>
      </c>
      <c r="N26" s="38">
        <f t="shared" si="6"/>
        <v>0.5077157647058824</v>
      </c>
      <c r="O26" s="39">
        <f>COUNTIF(Vertices[Eigenvector Centrality],"&gt;= "&amp;N26)-COUNTIF(Vertices[Eigenvector Centrality],"&gt;="&amp;N27)</f>
        <v>0</v>
      </c>
      <c r="P26" s="38">
        <f t="shared" si="7"/>
        <v>0.026974000000000015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50.735294117647086</v>
      </c>
      <c r="G27" s="41">
        <f>COUNTIF(Vertices[In-Degree],"&gt;= "&amp;F27)-COUNTIF(Vertices[In-Degree],"&gt;="&amp;F28)</f>
        <v>0</v>
      </c>
      <c r="H27" s="40">
        <f t="shared" si="3"/>
        <v>18.64705882352941</v>
      </c>
      <c r="I27" s="41">
        <f>COUNTIF(Vertices[Out-Degree],"&gt;= "&amp;H27)-COUNTIF(Vertices[Out-Degree],"&gt;="&amp;H28)</f>
        <v>0</v>
      </c>
      <c r="J27" s="40">
        <f t="shared" si="4"/>
        <v>10194.240196323522</v>
      </c>
      <c r="K27" s="41">
        <f>COUNTIF(Vertices[Betweenness Centrality],"&gt;= "&amp;J27)-COUNTIF(Vertices[Betweenness Centrality],"&gt;="&amp;J28)</f>
        <v>0</v>
      </c>
      <c r="L27" s="40">
        <f t="shared" si="5"/>
        <v>0.2070566176470589</v>
      </c>
      <c r="M27" s="41">
        <f>COUNTIF(Vertices[Closeness Centrality],"&gt;= "&amp;L27)-COUNTIF(Vertices[Closeness Centrality],"&gt;="&amp;L28)</f>
        <v>0</v>
      </c>
      <c r="N27" s="40">
        <f t="shared" si="6"/>
        <v>0.5288705882352942</v>
      </c>
      <c r="O27" s="41">
        <f>COUNTIF(Vertices[Eigenvector Centrality],"&gt;= "&amp;N27)-COUNTIF(Vertices[Eigenvector Centrality],"&gt;="&amp;N28)</f>
        <v>0</v>
      </c>
      <c r="P27" s="40">
        <f t="shared" si="7"/>
        <v>0.027936500000000017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2089</v>
      </c>
      <c r="B28" s="35" t="s">
        <v>2977</v>
      </c>
      <c r="D28" s="33">
        <f t="shared" si="1"/>
        <v>0</v>
      </c>
      <c r="E28" s="3">
        <f>COUNTIF(Vertices[Degree],"&gt;= "&amp;D28)-COUNTIF(Vertices[Degree],"&gt;="&amp;D29)</f>
        <v>0</v>
      </c>
      <c r="F28" s="38">
        <f t="shared" si="2"/>
        <v>52.76470588235297</v>
      </c>
      <c r="G28" s="39">
        <f>COUNTIF(Vertices[In-Degree],"&gt;= "&amp;F28)-COUNTIF(Vertices[In-Degree],"&gt;="&amp;F29)</f>
        <v>0</v>
      </c>
      <c r="H28" s="38">
        <f t="shared" si="3"/>
        <v>19.352941176470587</v>
      </c>
      <c r="I28" s="39">
        <f>COUNTIF(Vertices[Out-Degree],"&gt;= "&amp;H28)-COUNTIF(Vertices[Out-Degree],"&gt;="&amp;H29)</f>
        <v>0</v>
      </c>
      <c r="J28" s="38">
        <f t="shared" si="4"/>
        <v>10602.009804176463</v>
      </c>
      <c r="K28" s="39">
        <f>COUNTIF(Vertices[Betweenness Centrality],"&gt;= "&amp;J28)-COUNTIF(Vertices[Betweenness Centrality],"&gt;="&amp;J29)</f>
        <v>0</v>
      </c>
      <c r="L28" s="38">
        <f t="shared" si="5"/>
        <v>0.21533888235294127</v>
      </c>
      <c r="M28" s="39">
        <f>COUNTIF(Vertices[Closeness Centrality],"&gt;= "&amp;L28)-COUNTIF(Vertices[Closeness Centrality],"&gt;="&amp;L29)</f>
        <v>2</v>
      </c>
      <c r="N28" s="38">
        <f t="shared" si="6"/>
        <v>0.550025411764706</v>
      </c>
      <c r="O28" s="39">
        <f>COUNTIF(Vertices[Eigenvector Centrality],"&gt;= "&amp;N28)-COUNTIF(Vertices[Eigenvector Centrality],"&gt;="&amp;N29)</f>
        <v>0</v>
      </c>
      <c r="P28" s="38">
        <f t="shared" si="7"/>
        <v>0.02889900000000002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2090</v>
      </c>
      <c r="B29" s="35" t="s">
        <v>2978</v>
      </c>
      <c r="D29" s="33">
        <f t="shared" si="1"/>
        <v>0</v>
      </c>
      <c r="E29" s="3">
        <f>COUNTIF(Vertices[Degree],"&gt;= "&amp;D29)-COUNTIF(Vertices[Degree],"&gt;="&amp;D30)</f>
        <v>0</v>
      </c>
      <c r="F29" s="40">
        <f t="shared" si="2"/>
        <v>54.794117647058854</v>
      </c>
      <c r="G29" s="41">
        <f>COUNTIF(Vertices[In-Degree],"&gt;= "&amp;F29)-COUNTIF(Vertices[In-Degree],"&gt;="&amp;F30)</f>
        <v>0</v>
      </c>
      <c r="H29" s="40">
        <f t="shared" si="3"/>
        <v>20.058823529411764</v>
      </c>
      <c r="I29" s="41">
        <f>COUNTIF(Vertices[Out-Degree],"&gt;= "&amp;H29)-COUNTIF(Vertices[Out-Degree],"&gt;="&amp;H30)</f>
        <v>0</v>
      </c>
      <c r="J29" s="40">
        <f t="shared" si="4"/>
        <v>11009.779412029404</v>
      </c>
      <c r="K29" s="41">
        <f>COUNTIF(Vertices[Betweenness Centrality],"&gt;= "&amp;J29)-COUNTIF(Vertices[Betweenness Centrality],"&gt;="&amp;J30)</f>
        <v>0</v>
      </c>
      <c r="L29" s="40">
        <f t="shared" si="5"/>
        <v>0.22362114705882363</v>
      </c>
      <c r="M29" s="41">
        <f>COUNTIF(Vertices[Closeness Centrality],"&gt;= "&amp;L29)-COUNTIF(Vertices[Closeness Centrality],"&gt;="&amp;L30)</f>
        <v>2</v>
      </c>
      <c r="N29" s="40">
        <f t="shared" si="6"/>
        <v>0.5711802352941178</v>
      </c>
      <c r="O29" s="41">
        <f>COUNTIF(Vertices[Eigenvector Centrality],"&gt;= "&amp;N29)-COUNTIF(Vertices[Eigenvector Centrality],"&gt;="&amp;N30)</f>
        <v>0</v>
      </c>
      <c r="P29" s="40">
        <f t="shared" si="7"/>
        <v>0.02986150000000002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56.82352941176474</v>
      </c>
      <c r="G30" s="39">
        <f>COUNTIF(Vertices[In-Degree],"&gt;= "&amp;F30)-COUNTIF(Vertices[In-Degree],"&gt;="&amp;F31)</f>
        <v>0</v>
      </c>
      <c r="H30" s="38">
        <f t="shared" si="3"/>
        <v>20.764705882352942</v>
      </c>
      <c r="I30" s="39">
        <f>COUNTIF(Vertices[Out-Degree],"&gt;= "&amp;H30)-COUNTIF(Vertices[Out-Degree],"&gt;="&amp;H31)</f>
        <v>0</v>
      </c>
      <c r="J30" s="38">
        <f t="shared" si="4"/>
        <v>11417.549019882345</v>
      </c>
      <c r="K30" s="39">
        <f>COUNTIF(Vertices[Betweenness Centrality],"&gt;= "&amp;J30)-COUNTIF(Vertices[Betweenness Centrality],"&gt;="&amp;J31)</f>
        <v>0</v>
      </c>
      <c r="L30" s="38">
        <f t="shared" si="5"/>
        <v>0.231903411764706</v>
      </c>
      <c r="M30" s="39">
        <f>COUNTIF(Vertices[Closeness Centrality],"&gt;= "&amp;L30)-COUNTIF(Vertices[Closeness Centrality],"&gt;="&amp;L31)</f>
        <v>0</v>
      </c>
      <c r="N30" s="38">
        <f t="shared" si="6"/>
        <v>0.5923350588235295</v>
      </c>
      <c r="O30" s="39">
        <f>COUNTIF(Vertices[Eigenvector Centrality],"&gt;= "&amp;N30)-COUNTIF(Vertices[Eigenvector Centrality],"&gt;="&amp;N31)</f>
        <v>0</v>
      </c>
      <c r="P30" s="38">
        <f t="shared" si="7"/>
        <v>0.03082400000000002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2091</v>
      </c>
      <c r="B31" s="35" t="s">
        <v>2973</v>
      </c>
      <c r="D31" s="33">
        <f t="shared" si="1"/>
        <v>0</v>
      </c>
      <c r="E31" s="3">
        <f>COUNTIF(Vertices[Degree],"&gt;= "&amp;D31)-COUNTIF(Vertices[Degree],"&gt;="&amp;D32)</f>
        <v>0</v>
      </c>
      <c r="F31" s="40">
        <f t="shared" si="2"/>
        <v>58.85294117647062</v>
      </c>
      <c r="G31" s="41">
        <f>COUNTIF(Vertices[In-Degree],"&gt;= "&amp;F31)-COUNTIF(Vertices[In-Degree],"&gt;="&amp;F32)</f>
        <v>0</v>
      </c>
      <c r="H31" s="40">
        <f t="shared" si="3"/>
        <v>21.47058823529412</v>
      </c>
      <c r="I31" s="41">
        <f>COUNTIF(Vertices[Out-Degree],"&gt;= "&amp;H31)-COUNTIF(Vertices[Out-Degree],"&gt;="&amp;H32)</f>
        <v>0</v>
      </c>
      <c r="J31" s="40">
        <f t="shared" si="4"/>
        <v>11825.318627735285</v>
      </c>
      <c r="K31" s="41">
        <f>COUNTIF(Vertices[Betweenness Centrality],"&gt;= "&amp;J31)-COUNTIF(Vertices[Betweenness Centrality],"&gt;="&amp;J32)</f>
        <v>0</v>
      </c>
      <c r="L31" s="40">
        <f t="shared" si="5"/>
        <v>0.24018567647058836</v>
      </c>
      <c r="M31" s="41">
        <f>COUNTIF(Vertices[Closeness Centrality],"&gt;= "&amp;L31)-COUNTIF(Vertices[Closeness Centrality],"&gt;="&amp;L32)</f>
        <v>0</v>
      </c>
      <c r="N31" s="40">
        <f t="shared" si="6"/>
        <v>0.6134898823529413</v>
      </c>
      <c r="O31" s="41">
        <f>COUNTIF(Vertices[Eigenvector Centrality],"&gt;= "&amp;N31)-COUNTIF(Vertices[Eigenvector Centrality],"&gt;="&amp;N32)</f>
        <v>0</v>
      </c>
      <c r="P31" s="40">
        <f t="shared" si="7"/>
        <v>0.03178650000000002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2092</v>
      </c>
      <c r="B32" s="35" t="s">
        <v>1267</v>
      </c>
      <c r="D32" s="33">
        <f t="shared" si="1"/>
        <v>0</v>
      </c>
      <c r="E32" s="3">
        <f>COUNTIF(Vertices[Degree],"&gt;= "&amp;D32)-COUNTIF(Vertices[Degree],"&gt;="&amp;D33)</f>
        <v>0</v>
      </c>
      <c r="F32" s="38">
        <f t="shared" si="2"/>
        <v>60.88235294117651</v>
      </c>
      <c r="G32" s="39">
        <f>COUNTIF(Vertices[In-Degree],"&gt;= "&amp;F32)-COUNTIF(Vertices[In-Degree],"&gt;="&amp;F33)</f>
        <v>0</v>
      </c>
      <c r="H32" s="38">
        <f t="shared" si="3"/>
        <v>22.176470588235297</v>
      </c>
      <c r="I32" s="39">
        <f>COUNTIF(Vertices[Out-Degree],"&gt;= "&amp;H32)-COUNTIF(Vertices[Out-Degree],"&gt;="&amp;H33)</f>
        <v>0</v>
      </c>
      <c r="J32" s="38">
        <f t="shared" si="4"/>
        <v>12233.088235588226</v>
      </c>
      <c r="K32" s="39">
        <f>COUNTIF(Vertices[Betweenness Centrality],"&gt;= "&amp;J32)-COUNTIF(Vertices[Betweenness Centrality],"&gt;="&amp;J33)</f>
        <v>0</v>
      </c>
      <c r="L32" s="38">
        <f t="shared" si="5"/>
        <v>0.24846794117647072</v>
      </c>
      <c r="M32" s="39">
        <f>COUNTIF(Vertices[Closeness Centrality],"&gt;= "&amp;L32)-COUNTIF(Vertices[Closeness Centrality],"&gt;="&amp;L33)</f>
        <v>0</v>
      </c>
      <c r="N32" s="38">
        <f t="shared" si="6"/>
        <v>0.6346447058823531</v>
      </c>
      <c r="O32" s="39">
        <f>COUNTIF(Vertices[Eigenvector Centrality],"&gt;= "&amp;N32)-COUNTIF(Vertices[Eigenvector Centrality],"&gt;="&amp;N33)</f>
        <v>0</v>
      </c>
      <c r="P32" s="38">
        <f t="shared" si="7"/>
        <v>0.03274900000000002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2093</v>
      </c>
      <c r="B33" s="54" t="s">
        <v>2974</v>
      </c>
      <c r="D33" s="33">
        <f t="shared" si="1"/>
        <v>0</v>
      </c>
      <c r="E33" s="3">
        <f>COUNTIF(Vertices[Degree],"&gt;= "&amp;D33)-COUNTIF(Vertices[Degree],"&gt;="&amp;D34)</f>
        <v>0</v>
      </c>
      <c r="F33" s="40">
        <f t="shared" si="2"/>
        <v>62.91176470588239</v>
      </c>
      <c r="G33" s="41">
        <f>COUNTIF(Vertices[In-Degree],"&gt;= "&amp;F33)-COUNTIF(Vertices[In-Degree],"&gt;="&amp;F34)</f>
        <v>0</v>
      </c>
      <c r="H33" s="40">
        <f t="shared" si="3"/>
        <v>22.882352941176475</v>
      </c>
      <c r="I33" s="41">
        <f>COUNTIF(Vertices[Out-Degree],"&gt;= "&amp;H33)-COUNTIF(Vertices[Out-Degree],"&gt;="&amp;H34)</f>
        <v>0</v>
      </c>
      <c r="J33" s="40">
        <f t="shared" si="4"/>
        <v>12640.857843441167</v>
      </c>
      <c r="K33" s="41">
        <f>COUNTIF(Vertices[Betweenness Centrality],"&gt;= "&amp;J33)-COUNTIF(Vertices[Betweenness Centrality],"&gt;="&amp;J34)</f>
        <v>0</v>
      </c>
      <c r="L33" s="40">
        <f t="shared" si="5"/>
        <v>0.2567502058823531</v>
      </c>
      <c r="M33" s="41">
        <f>COUNTIF(Vertices[Closeness Centrality],"&gt;= "&amp;L33)-COUNTIF(Vertices[Closeness Centrality],"&gt;="&amp;L34)</f>
        <v>0</v>
      </c>
      <c r="N33" s="40">
        <f t="shared" si="6"/>
        <v>0.6557995294117649</v>
      </c>
      <c r="O33" s="41">
        <f>COUNTIF(Vertices[Eigenvector Centrality],"&gt;= "&amp;N33)-COUNTIF(Vertices[Eigenvector Centrality],"&gt;="&amp;N34)</f>
        <v>0</v>
      </c>
      <c r="P33" s="40">
        <f t="shared" si="7"/>
        <v>0.03371150000000002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2094</v>
      </c>
      <c r="B34" s="35" t="s">
        <v>2975</v>
      </c>
      <c r="D34" s="33">
        <f t="shared" si="1"/>
        <v>0</v>
      </c>
      <c r="E34" s="3">
        <f>COUNTIF(Vertices[Degree],"&gt;= "&amp;D34)-COUNTIF(Vertices[Degree],"&gt;="&amp;D35)</f>
        <v>0</v>
      </c>
      <c r="F34" s="38">
        <f t="shared" si="2"/>
        <v>64.94117647058827</v>
      </c>
      <c r="G34" s="39">
        <f>COUNTIF(Vertices[In-Degree],"&gt;= "&amp;F34)-COUNTIF(Vertices[In-Degree],"&gt;="&amp;F35)</f>
        <v>0</v>
      </c>
      <c r="H34" s="38">
        <f t="shared" si="3"/>
        <v>23.588235294117652</v>
      </c>
      <c r="I34" s="39">
        <f>COUNTIF(Vertices[Out-Degree],"&gt;= "&amp;H34)-COUNTIF(Vertices[Out-Degree],"&gt;="&amp;H35)</f>
        <v>0</v>
      </c>
      <c r="J34" s="38">
        <f t="shared" si="4"/>
        <v>13048.627451294107</v>
      </c>
      <c r="K34" s="39">
        <f>COUNTIF(Vertices[Betweenness Centrality],"&gt;= "&amp;J34)-COUNTIF(Vertices[Betweenness Centrality],"&gt;="&amp;J35)</f>
        <v>0</v>
      </c>
      <c r="L34" s="38">
        <f t="shared" si="5"/>
        <v>0.2650324705882354</v>
      </c>
      <c r="M34" s="39">
        <f>COUNTIF(Vertices[Closeness Centrality],"&gt;= "&amp;L34)-COUNTIF(Vertices[Closeness Centrality],"&gt;="&amp;L35)</f>
        <v>0</v>
      </c>
      <c r="N34" s="38">
        <f t="shared" si="6"/>
        <v>0.6769543529411767</v>
      </c>
      <c r="O34" s="39">
        <f>COUNTIF(Vertices[Eigenvector Centrality],"&gt;= "&amp;N34)-COUNTIF(Vertices[Eigenvector Centrality],"&gt;="&amp;N35)</f>
        <v>0</v>
      </c>
      <c r="P34" s="38">
        <f t="shared" si="7"/>
        <v>0.03467400000000002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2095</v>
      </c>
      <c r="B35" s="35" t="s">
        <v>2976</v>
      </c>
      <c r="D35" s="33">
        <f t="shared" si="1"/>
        <v>0</v>
      </c>
      <c r="E35" s="3">
        <f>COUNTIF(Vertices[Degree],"&gt;= "&amp;D35)-COUNTIF(Vertices[Degree],"&gt;="&amp;D36)</f>
        <v>0</v>
      </c>
      <c r="F35" s="40">
        <f t="shared" si="2"/>
        <v>66.97058823529416</v>
      </c>
      <c r="G35" s="41">
        <f>COUNTIF(Vertices[In-Degree],"&gt;= "&amp;F35)-COUNTIF(Vertices[In-Degree],"&gt;="&amp;F36)</f>
        <v>0</v>
      </c>
      <c r="H35" s="40">
        <f t="shared" si="3"/>
        <v>24.29411764705883</v>
      </c>
      <c r="I35" s="41">
        <f>COUNTIF(Vertices[Out-Degree],"&gt;= "&amp;H35)-COUNTIF(Vertices[Out-Degree],"&gt;="&amp;H36)</f>
        <v>0</v>
      </c>
      <c r="J35" s="40">
        <f t="shared" si="4"/>
        <v>13456.397059147048</v>
      </c>
      <c r="K35" s="41">
        <f>COUNTIF(Vertices[Betweenness Centrality],"&gt;= "&amp;J35)-COUNTIF(Vertices[Betweenness Centrality],"&gt;="&amp;J36)</f>
        <v>0</v>
      </c>
      <c r="L35" s="40">
        <f t="shared" si="5"/>
        <v>0.27331473529411776</v>
      </c>
      <c r="M35" s="41">
        <f>COUNTIF(Vertices[Closeness Centrality],"&gt;= "&amp;L35)-COUNTIF(Vertices[Closeness Centrality],"&gt;="&amp;L36)</f>
        <v>0</v>
      </c>
      <c r="N35" s="40">
        <f t="shared" si="6"/>
        <v>0.6981091764705885</v>
      </c>
      <c r="O35" s="41">
        <f>COUNTIF(Vertices[Eigenvector Centrality],"&gt;= "&amp;N35)-COUNTIF(Vertices[Eigenvector Centrality],"&gt;="&amp;N36)</f>
        <v>0</v>
      </c>
      <c r="P35" s="40">
        <f t="shared" si="7"/>
        <v>0.035636500000000015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2096</v>
      </c>
      <c r="B36" s="35" t="s">
        <v>1377</v>
      </c>
      <c r="D36" s="33">
        <f>MAX(Vertices[Degree])</f>
        <v>0</v>
      </c>
      <c r="E36" s="3">
        <f>COUNTIF(Vertices[Degree],"&gt;= "&amp;D36)-COUNTIF(Vertices[Degree],"&gt;="&amp;#REF!)</f>
        <v>0</v>
      </c>
      <c r="F36" s="42">
        <f>MAX(Vertices[In-Degree])</f>
        <v>69</v>
      </c>
      <c r="G36" s="43">
        <f>COUNTIF(Vertices[In-Degree],"&gt;= "&amp;F36)-COUNTIF(Vertices[In-Degree],"&gt;="&amp;#REF!)</f>
        <v>1</v>
      </c>
      <c r="H36" s="42">
        <f>MAX(Vertices[Out-Degree])</f>
        <v>25</v>
      </c>
      <c r="I36" s="43">
        <f>COUNTIF(Vertices[Out-Degree],"&gt;= "&amp;H36)-COUNTIF(Vertices[Out-Degree],"&gt;="&amp;#REF!)</f>
        <v>1</v>
      </c>
      <c r="J36" s="42">
        <f>MAX(Vertices[Betweenness Centrality])</f>
        <v>13864.166667</v>
      </c>
      <c r="K36" s="43">
        <f>COUNTIF(Vertices[Betweenness Centrality],"&gt;= "&amp;J36)-COUNTIF(Vertices[Betweenness Centrality],"&gt;="&amp;#REF!)</f>
        <v>1</v>
      </c>
      <c r="L36" s="42">
        <f>MAX(Vertices[Closeness Centrality])</f>
        <v>0.281597</v>
      </c>
      <c r="M36" s="43">
        <f>COUNTIF(Vertices[Closeness Centrality],"&gt;= "&amp;L36)-COUNTIF(Vertices[Closeness Centrality],"&gt;="&amp;#REF!)</f>
        <v>1</v>
      </c>
      <c r="N36" s="42">
        <f>MAX(Vertices[Eigenvector Centrality])</f>
        <v>0.719264</v>
      </c>
      <c r="O36" s="43">
        <f>COUNTIF(Vertices[Eigenvector Centrality],"&gt;= "&amp;N36)-COUNTIF(Vertices[Eigenvector Centrality],"&gt;="&amp;#REF!)</f>
        <v>1</v>
      </c>
      <c r="P36" s="42">
        <f>MAX(Vertices[PageRank])</f>
        <v>0.036599</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2097</v>
      </c>
      <c r="B37" s="35" t="s">
        <v>1377</v>
      </c>
    </row>
    <row r="38" spans="1:2" ht="15">
      <c r="A38" s="35" t="s">
        <v>2098</v>
      </c>
      <c r="B38" s="35" t="s">
        <v>1377</v>
      </c>
    </row>
    <row r="39" spans="1:2" ht="15">
      <c r="A39" s="35" t="s">
        <v>2099</v>
      </c>
      <c r="B39" s="35"/>
    </row>
    <row r="40" spans="1:2" ht="15">
      <c r="A40" s="35" t="s">
        <v>21</v>
      </c>
      <c r="B40" s="35"/>
    </row>
    <row r="41" spans="1:2" ht="15">
      <c r="A41" s="35" t="s">
        <v>2100</v>
      </c>
      <c r="B41" s="35" t="s">
        <v>34</v>
      </c>
    </row>
    <row r="42" spans="1:2" ht="15">
      <c r="A42" s="35" t="s">
        <v>2101</v>
      </c>
      <c r="B42" s="35"/>
    </row>
    <row r="43" spans="1:2" ht="15">
      <c r="A43" s="35" t="s">
        <v>2102</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69</v>
      </c>
    </row>
    <row r="83" spans="1:2" ht="15">
      <c r="A83" s="34" t="s">
        <v>90</v>
      </c>
      <c r="B83" s="48">
        <f>_xlfn.IFERROR(AVERAGE(Vertices[In-Degree]),NoMetricMessage)</f>
        <v>1.3258928571428572</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25</v>
      </c>
    </row>
    <row r="97" spans="1:2" ht="15">
      <c r="A97" s="34" t="s">
        <v>96</v>
      </c>
      <c r="B97" s="48">
        <f>_xlfn.IFERROR(AVERAGE(Vertices[Out-Degree]),NoMetricMessage)</f>
        <v>1.3258928571428572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13864.166667</v>
      </c>
    </row>
    <row r="111" spans="1:2" ht="15">
      <c r="A111" s="34" t="s">
        <v>102</v>
      </c>
      <c r="B111" s="48">
        <f>_xlfn.IFERROR(AVERAGE(Vertices[Betweenness Centrality]),NoMetricMessage)</f>
        <v>202.58035714285714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0.281597</v>
      </c>
    </row>
    <row r="125" spans="1:2" ht="15">
      <c r="A125" s="34" t="s">
        <v>108</v>
      </c>
      <c r="B125" s="48">
        <f>_xlfn.IFERROR(AVERAGE(Vertices[Closeness Centrality]),NoMetricMessage)</f>
        <v>0.10077602232142857</v>
      </c>
    </row>
    <row r="126" spans="1:2" ht="15">
      <c r="A126" s="34" t="s">
        <v>109</v>
      </c>
      <c r="B126" s="48">
        <f>_xlfn.IFERROR(MEDIAN(Vertices[Closeness Centrality]),NoMetricMessage)</f>
        <v>0.121339</v>
      </c>
    </row>
    <row r="137" spans="1:2" ht="15">
      <c r="A137" s="34" t="s">
        <v>112</v>
      </c>
      <c r="B137" s="48">
        <f>IF(COUNT(Vertices[Eigenvector Centrality])&gt;0,N2,NoMetricMessage)</f>
        <v>0</v>
      </c>
    </row>
    <row r="138" spans="1:2" ht="15">
      <c r="A138" s="34" t="s">
        <v>113</v>
      </c>
      <c r="B138" s="48">
        <f>IF(COUNT(Vertices[Eigenvector Centrality])&gt;0,N36,NoMetricMessage)</f>
        <v>0.719264</v>
      </c>
    </row>
    <row r="139" spans="1:2" ht="15">
      <c r="A139" s="34" t="s">
        <v>114</v>
      </c>
      <c r="B139" s="48">
        <f>_xlfn.IFERROR(AVERAGE(Vertices[Eigenvector Centrality]),NoMetricMessage)</f>
        <v>0.030103973214285745</v>
      </c>
    </row>
    <row r="140" spans="1:2" ht="15">
      <c r="A140" s="34" t="s">
        <v>115</v>
      </c>
      <c r="B140" s="48">
        <f>_xlfn.IFERROR(MEDIAN(Vertices[Eigenvector Centrality]),NoMetricMessage)</f>
        <v>0.0009935</v>
      </c>
    </row>
    <row r="151" spans="1:2" ht="15">
      <c r="A151" s="34" t="s">
        <v>140</v>
      </c>
      <c r="B151" s="48">
        <f>IF(COUNT(Vertices[PageRank])&gt;0,P2,NoMetricMessage)</f>
        <v>0.003874</v>
      </c>
    </row>
    <row r="152" spans="1:2" ht="15">
      <c r="A152" s="34" t="s">
        <v>141</v>
      </c>
      <c r="B152" s="48">
        <f>IF(COUNT(Vertices[PageRank])&gt;0,P36,NoMetricMessage)</f>
        <v>0.036599</v>
      </c>
    </row>
    <row r="153" spans="1:2" ht="15">
      <c r="A153" s="34" t="s">
        <v>142</v>
      </c>
      <c r="B153" s="48">
        <f>_xlfn.IFERROR(AVERAGE(Vertices[PageRank]),NoMetricMessage)</f>
        <v>0.004464285714285722</v>
      </c>
    </row>
    <row r="154" spans="1:2" ht="15">
      <c r="A154" s="34" t="s">
        <v>143</v>
      </c>
      <c r="B154" s="48">
        <f>_xlfn.IFERROR(MEDIAN(Vertices[PageRank]),NoMetricMessage)</f>
        <v>0.004018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0.01748609891717881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409.5">
      <c r="A6">
        <v>0</v>
      </c>
      <c r="B6" s="1" t="s">
        <v>136</v>
      </c>
      <c r="C6">
        <v>1</v>
      </c>
      <c r="D6" t="s">
        <v>59</v>
      </c>
      <c r="E6" t="s">
        <v>59</v>
      </c>
      <c r="F6">
        <v>0</v>
      </c>
      <c r="H6" t="s">
        <v>71</v>
      </c>
      <c r="J6" t="s">
        <v>173</v>
      </c>
      <c r="K6" s="13" t="s">
        <v>304</v>
      </c>
      <c r="R6" t="s">
        <v>129</v>
      </c>
    </row>
    <row r="7" spans="1:11" ht="409.5">
      <c r="A7">
        <v>2</v>
      </c>
      <c r="B7">
        <v>1</v>
      </c>
      <c r="C7">
        <v>0</v>
      </c>
      <c r="D7" t="s">
        <v>60</v>
      </c>
      <c r="E7" t="s">
        <v>60</v>
      </c>
      <c r="F7">
        <v>2</v>
      </c>
      <c r="H7" t="s">
        <v>72</v>
      </c>
      <c r="J7" t="s">
        <v>174</v>
      </c>
      <c r="K7" s="13" t="s">
        <v>305</v>
      </c>
    </row>
    <row r="8" spans="1:11" ht="409.5">
      <c r="A8"/>
      <c r="B8">
        <v>2</v>
      </c>
      <c r="C8">
        <v>2</v>
      </c>
      <c r="D8" t="s">
        <v>61</v>
      </c>
      <c r="E8" t="s">
        <v>61</v>
      </c>
      <c r="H8" t="s">
        <v>73</v>
      </c>
      <c r="J8" t="s">
        <v>175</v>
      </c>
      <c r="K8" s="13" t="s">
        <v>306</v>
      </c>
    </row>
    <row r="9" spans="1:11" ht="409.5">
      <c r="A9"/>
      <c r="B9">
        <v>3</v>
      </c>
      <c r="C9">
        <v>4</v>
      </c>
      <c r="D9" t="s">
        <v>62</v>
      </c>
      <c r="E9" t="s">
        <v>62</v>
      </c>
      <c r="H9" t="s">
        <v>74</v>
      </c>
      <c r="J9" t="s">
        <v>176</v>
      </c>
      <c r="K9" s="13" t="s">
        <v>307</v>
      </c>
    </row>
    <row r="10" spans="1:11" ht="15">
      <c r="A10"/>
      <c r="B10">
        <v>4</v>
      </c>
      <c r="D10" t="s">
        <v>63</v>
      </c>
      <c r="E10" t="s">
        <v>63</v>
      </c>
      <c r="H10" t="s">
        <v>75</v>
      </c>
      <c r="J10" t="s">
        <v>177</v>
      </c>
      <c r="K10" t="s">
        <v>308</v>
      </c>
    </row>
    <row r="11" spans="1:11" ht="15">
      <c r="A11"/>
      <c r="B11">
        <v>5</v>
      </c>
      <c r="D11" t="s">
        <v>46</v>
      </c>
      <c r="E11">
        <v>1</v>
      </c>
      <c r="H11" t="s">
        <v>76</v>
      </c>
      <c r="J11" t="s">
        <v>178</v>
      </c>
      <c r="K11" t="s">
        <v>309</v>
      </c>
    </row>
    <row r="12" spans="1:11" ht="15">
      <c r="A12"/>
      <c r="B12"/>
      <c r="D12" t="s">
        <v>64</v>
      </c>
      <c r="E12">
        <v>2</v>
      </c>
      <c r="H12">
        <v>0</v>
      </c>
      <c r="J12" t="s">
        <v>179</v>
      </c>
      <c r="K12" t="s">
        <v>310</v>
      </c>
    </row>
    <row r="13" spans="1:11" ht="15">
      <c r="A13"/>
      <c r="B13"/>
      <c r="D13">
        <v>1</v>
      </c>
      <c r="E13">
        <v>3</v>
      </c>
      <c r="H13">
        <v>1</v>
      </c>
      <c r="J13" t="s">
        <v>180</v>
      </c>
      <c r="K13" t="s">
        <v>311</v>
      </c>
    </row>
    <row r="14" spans="4:11" ht="15">
      <c r="D14">
        <v>2</v>
      </c>
      <c r="E14">
        <v>4</v>
      </c>
      <c r="H14">
        <v>2</v>
      </c>
      <c r="J14" t="s">
        <v>181</v>
      </c>
      <c r="K14" t="s">
        <v>312</v>
      </c>
    </row>
    <row r="15" spans="4:11" ht="15">
      <c r="D15">
        <v>3</v>
      </c>
      <c r="E15">
        <v>5</v>
      </c>
      <c r="H15">
        <v>3</v>
      </c>
      <c r="J15" t="s">
        <v>182</v>
      </c>
      <c r="K15" t="s">
        <v>313</v>
      </c>
    </row>
    <row r="16" spans="4:11" ht="15">
      <c r="D16">
        <v>4</v>
      </c>
      <c r="E16">
        <v>6</v>
      </c>
      <c r="H16">
        <v>4</v>
      </c>
      <c r="J16" t="s">
        <v>183</v>
      </c>
      <c r="K16" t="s">
        <v>314</v>
      </c>
    </row>
    <row r="17" spans="4:11" ht="15">
      <c r="D17">
        <v>5</v>
      </c>
      <c r="E17">
        <v>7</v>
      </c>
      <c r="H17">
        <v>5</v>
      </c>
      <c r="J17" t="s">
        <v>184</v>
      </c>
      <c r="K17" t="s">
        <v>315</v>
      </c>
    </row>
    <row r="18" spans="4:11" ht="15">
      <c r="D18">
        <v>6</v>
      </c>
      <c r="E18">
        <v>8</v>
      </c>
      <c r="H18">
        <v>6</v>
      </c>
      <c r="J18" t="s">
        <v>185</v>
      </c>
      <c r="K18" t="s">
        <v>316</v>
      </c>
    </row>
    <row r="19" spans="4:11" ht="15">
      <c r="D19">
        <v>7</v>
      </c>
      <c r="E19">
        <v>9</v>
      </c>
      <c r="H19">
        <v>7</v>
      </c>
      <c r="J19" t="s">
        <v>186</v>
      </c>
      <c r="K19" t="s">
        <v>317</v>
      </c>
    </row>
    <row r="20" spans="4:11" ht="409.5">
      <c r="D20">
        <v>8</v>
      </c>
      <c r="H20">
        <v>8</v>
      </c>
      <c r="J20" t="s">
        <v>187</v>
      </c>
      <c r="K20" s="13" t="s">
        <v>318</v>
      </c>
    </row>
    <row r="21" spans="4:11" ht="409.5">
      <c r="D21">
        <v>9</v>
      </c>
      <c r="H21">
        <v>9</v>
      </c>
      <c r="J21" t="s">
        <v>188</v>
      </c>
      <c r="K21" s="13" t="s">
        <v>319</v>
      </c>
    </row>
    <row r="22" spans="4:11" ht="409.5">
      <c r="D22">
        <v>10</v>
      </c>
      <c r="J22" t="s">
        <v>189</v>
      </c>
      <c r="K22" s="13" t="s">
        <v>320</v>
      </c>
    </row>
    <row r="23" spans="4:11" ht="409.5">
      <c r="D23">
        <v>11</v>
      </c>
      <c r="J23" t="s">
        <v>190</v>
      </c>
      <c r="K23" s="13" t="s">
        <v>2979</v>
      </c>
    </row>
    <row r="24" spans="10:11" ht="15">
      <c r="J24" t="s">
        <v>191</v>
      </c>
      <c r="K24" t="s">
        <v>192</v>
      </c>
    </row>
    <row r="25" spans="10:11" ht="15">
      <c r="J25" t="s">
        <v>193</v>
      </c>
      <c r="K25" t="s">
        <v>194</v>
      </c>
    </row>
    <row r="26" spans="10:11" ht="15">
      <c r="J26" t="s">
        <v>195</v>
      </c>
      <c r="K26" t="s">
        <v>196</v>
      </c>
    </row>
    <row r="27" spans="10:11" ht="15">
      <c r="J27" t="s">
        <v>197</v>
      </c>
      <c r="K27" t="s">
        <v>198</v>
      </c>
    </row>
    <row r="28" spans="10:11" ht="15">
      <c r="J28" t="s">
        <v>199</v>
      </c>
      <c r="K28" t="s">
        <v>200</v>
      </c>
    </row>
    <row r="29" spans="10:11" ht="15">
      <c r="J29" t="s">
        <v>201</v>
      </c>
      <c r="K29" t="s">
        <v>202</v>
      </c>
    </row>
    <row r="30" spans="10:11" ht="15">
      <c r="J30" t="s">
        <v>203</v>
      </c>
      <c r="K30" t="s">
        <v>204</v>
      </c>
    </row>
    <row r="31" spans="10:11" ht="15">
      <c r="J31" t="s">
        <v>205</v>
      </c>
      <c r="K31" t="s">
        <v>206</v>
      </c>
    </row>
    <row r="32" spans="10:11" ht="15">
      <c r="J32" t="s">
        <v>207</v>
      </c>
      <c r="K32" t="s">
        <v>208</v>
      </c>
    </row>
    <row r="33" spans="10:11" ht="15">
      <c r="J33" t="s">
        <v>209</v>
      </c>
      <c r="K33" t="s">
        <v>210</v>
      </c>
    </row>
    <row r="34" spans="10:11" ht="15">
      <c r="J34" t="s">
        <v>211</v>
      </c>
      <c r="K34" t="s">
        <v>212</v>
      </c>
    </row>
    <row r="35" spans="10:11" ht="15">
      <c r="J35" t="s">
        <v>213</v>
      </c>
      <c r="K35" t="s">
        <v>214</v>
      </c>
    </row>
    <row r="36" spans="10:11" ht="15">
      <c r="J36" t="s">
        <v>215</v>
      </c>
      <c r="K36" t="s">
        <v>216</v>
      </c>
    </row>
    <row r="37" spans="10:11" ht="15">
      <c r="J37" t="s">
        <v>217</v>
      </c>
      <c r="K37" t="s">
        <v>218</v>
      </c>
    </row>
    <row r="38" spans="10:11" ht="15">
      <c r="J38" t="s">
        <v>219</v>
      </c>
      <c r="K38" t="s">
        <v>220</v>
      </c>
    </row>
    <row r="39" spans="10:11" ht="15">
      <c r="J39" t="s">
        <v>221</v>
      </c>
      <c r="K39" t="s">
        <v>222</v>
      </c>
    </row>
    <row r="40" spans="10:11" ht="15">
      <c r="J40" t="s">
        <v>223</v>
      </c>
      <c r="K40" t="s">
        <v>224</v>
      </c>
    </row>
    <row r="41" spans="10:11" ht="15">
      <c r="J41" t="s">
        <v>225</v>
      </c>
      <c r="K41" t="s">
        <v>226</v>
      </c>
    </row>
    <row r="42" spans="10:11" ht="15">
      <c r="J42" t="s">
        <v>227</v>
      </c>
      <c r="K42" t="s">
        <v>228</v>
      </c>
    </row>
    <row r="43" spans="10:11" ht="15">
      <c r="J43" t="s">
        <v>229</v>
      </c>
      <c r="K43" t="s">
        <v>230</v>
      </c>
    </row>
    <row r="44" spans="10:11" ht="15">
      <c r="J44" t="s">
        <v>231</v>
      </c>
      <c r="K44" t="s">
        <v>232</v>
      </c>
    </row>
    <row r="45" spans="10:11" ht="15">
      <c r="J45" t="s">
        <v>233</v>
      </c>
      <c r="K45" t="s">
        <v>234</v>
      </c>
    </row>
    <row r="46" spans="10:11" ht="15">
      <c r="J46" t="s">
        <v>235</v>
      </c>
      <c r="K46" t="s">
        <v>236</v>
      </c>
    </row>
    <row r="47" spans="10:11" ht="15">
      <c r="J47" t="s">
        <v>237</v>
      </c>
      <c r="K47" t="s">
        <v>238</v>
      </c>
    </row>
    <row r="48" spans="10:11" ht="15">
      <c r="J48" t="s">
        <v>239</v>
      </c>
      <c r="K48" t="s">
        <v>240</v>
      </c>
    </row>
    <row r="49" spans="10:11" ht="15">
      <c r="J49" t="s">
        <v>241</v>
      </c>
      <c r="K49" t="s">
        <v>242</v>
      </c>
    </row>
    <row r="50" spans="10:11" ht="15">
      <c r="J50" t="s">
        <v>243</v>
      </c>
      <c r="K50" t="s">
        <v>244</v>
      </c>
    </row>
    <row r="51" spans="10:11" ht="15">
      <c r="J51" t="s">
        <v>245</v>
      </c>
      <c r="K51" t="s">
        <v>246</v>
      </c>
    </row>
    <row r="52" spans="10:11" ht="15">
      <c r="J52" t="s">
        <v>247</v>
      </c>
      <c r="K52" t="s">
        <v>248</v>
      </c>
    </row>
    <row r="53" spans="10:11" ht="15">
      <c r="J53" t="s">
        <v>249</v>
      </c>
      <c r="K53" t="s">
        <v>250</v>
      </c>
    </row>
    <row r="54" spans="10:11" ht="15">
      <c r="J54" t="s">
        <v>251</v>
      </c>
      <c r="K54" t="s">
        <v>252</v>
      </c>
    </row>
    <row r="55" spans="10:11" ht="15">
      <c r="J55" t="s">
        <v>253</v>
      </c>
      <c r="K55" t="s">
        <v>254</v>
      </c>
    </row>
    <row r="56" spans="10:11" ht="15">
      <c r="J56" t="s">
        <v>255</v>
      </c>
      <c r="K56" t="s">
        <v>256</v>
      </c>
    </row>
    <row r="57" spans="10:11" ht="15">
      <c r="J57" t="s">
        <v>257</v>
      </c>
      <c r="K57" t="s">
        <v>258</v>
      </c>
    </row>
    <row r="58" spans="10:11" ht="15">
      <c r="J58" t="s">
        <v>259</v>
      </c>
      <c r="K58" t="s">
        <v>260</v>
      </c>
    </row>
    <row r="59" spans="10:11" ht="15">
      <c r="J59" t="s">
        <v>261</v>
      </c>
      <c r="K59" t="s">
        <v>262</v>
      </c>
    </row>
    <row r="60" spans="10:11" ht="15">
      <c r="J60" t="s">
        <v>263</v>
      </c>
      <c r="K60" t="s">
        <v>264</v>
      </c>
    </row>
    <row r="61" spans="10:11" ht="15">
      <c r="J61" t="s">
        <v>265</v>
      </c>
      <c r="K61" t="s">
        <v>266</v>
      </c>
    </row>
    <row r="62" spans="10:11" ht="15">
      <c r="J62" t="s">
        <v>267</v>
      </c>
      <c r="K62" t="s">
        <v>268</v>
      </c>
    </row>
    <row r="63" spans="10:11" ht="15">
      <c r="J63" t="s">
        <v>269</v>
      </c>
      <c r="K63" t="s">
        <v>270</v>
      </c>
    </row>
    <row r="64" spans="10:11" ht="15">
      <c r="J64" t="s">
        <v>271</v>
      </c>
      <c r="K64" t="s">
        <v>272</v>
      </c>
    </row>
    <row r="65" spans="10:11" ht="15">
      <c r="J65" t="s">
        <v>273</v>
      </c>
      <c r="K65" t="s">
        <v>274</v>
      </c>
    </row>
    <row r="66" spans="10:11" ht="15">
      <c r="J66" t="s">
        <v>275</v>
      </c>
      <c r="K66" t="s">
        <v>276</v>
      </c>
    </row>
    <row r="67" spans="10:11" ht="15">
      <c r="J67" t="s">
        <v>277</v>
      </c>
      <c r="K67" t="s">
        <v>278</v>
      </c>
    </row>
    <row r="68" spans="10:11" ht="15">
      <c r="J68" t="s">
        <v>279</v>
      </c>
      <c r="K68" t="s">
        <v>280</v>
      </c>
    </row>
    <row r="69" spans="10:11" ht="15">
      <c r="J69" t="s">
        <v>281</v>
      </c>
      <c r="K69" t="s">
        <v>282</v>
      </c>
    </row>
    <row r="70" spans="10:11" ht="15">
      <c r="J70" t="s">
        <v>283</v>
      </c>
      <c r="K70" t="s">
        <v>284</v>
      </c>
    </row>
    <row r="71" spans="10:11" ht="15">
      <c r="J71" t="s">
        <v>285</v>
      </c>
      <c r="K71" t="s">
        <v>286</v>
      </c>
    </row>
    <row r="72" spans="10:11" ht="15">
      <c r="J72" t="s">
        <v>287</v>
      </c>
      <c r="K72" t="s">
        <v>288</v>
      </c>
    </row>
    <row r="73" spans="10:11" ht="15">
      <c r="J73" t="s">
        <v>289</v>
      </c>
      <c r="K73" t="s">
        <v>290</v>
      </c>
    </row>
    <row r="74" spans="10:11" ht="15">
      <c r="J74" t="s">
        <v>291</v>
      </c>
      <c r="K74" t="s">
        <v>292</v>
      </c>
    </row>
    <row r="75" spans="10:11" ht="409.5">
      <c r="J75" t="s">
        <v>293</v>
      </c>
      <c r="K75" s="13" t="s">
        <v>294</v>
      </c>
    </row>
    <row r="76" spans="10:11" ht="409.5">
      <c r="J76" t="s">
        <v>295</v>
      </c>
      <c r="K76" s="13" t="s">
        <v>296</v>
      </c>
    </row>
    <row r="77" spans="10:11" ht="409.5">
      <c r="J77" t="s">
        <v>297</v>
      </c>
      <c r="K77" s="13" t="s">
        <v>298</v>
      </c>
    </row>
    <row r="78" spans="10:11" ht="409.5">
      <c r="J78" t="s">
        <v>299</v>
      </c>
      <c r="K78" s="13" t="s">
        <v>300</v>
      </c>
    </row>
    <row r="79" spans="10:11" ht="15">
      <c r="J79" t="s">
        <v>301</v>
      </c>
      <c r="K79">
        <v>19</v>
      </c>
    </row>
    <row r="80" spans="10:11" ht="15">
      <c r="J80" t="s">
        <v>321</v>
      </c>
      <c r="K80" t="s">
        <v>2971</v>
      </c>
    </row>
    <row r="81" spans="10:11" ht="409.5">
      <c r="J81" t="s">
        <v>322</v>
      </c>
      <c r="K81" s="13" t="s">
        <v>2972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76816-EBED-47CC-9E60-3BB69E9F0ED1}">
  <dimension ref="A1:G13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1419</v>
      </c>
      <c r="B1" s="13" t="s">
        <v>2054</v>
      </c>
      <c r="C1" s="13" t="s">
        <v>2058</v>
      </c>
      <c r="D1" s="13" t="s">
        <v>144</v>
      </c>
      <c r="E1" s="13" t="s">
        <v>2060</v>
      </c>
      <c r="F1" s="13" t="s">
        <v>2061</v>
      </c>
      <c r="G1" s="13" t="s">
        <v>2062</v>
      </c>
    </row>
    <row r="2" spans="1:7" ht="15">
      <c r="A2" s="80" t="s">
        <v>1420</v>
      </c>
      <c r="B2" s="80" t="s">
        <v>2055</v>
      </c>
      <c r="C2" s="109"/>
      <c r="D2" s="80"/>
      <c r="E2" s="80"/>
      <c r="F2" s="80"/>
      <c r="G2" s="80"/>
    </row>
    <row r="3" spans="1:7" ht="15">
      <c r="A3" s="81" t="s">
        <v>1421</v>
      </c>
      <c r="B3" s="80" t="s">
        <v>2056</v>
      </c>
      <c r="C3" s="109"/>
      <c r="D3" s="80"/>
      <c r="E3" s="80"/>
      <c r="F3" s="80"/>
      <c r="G3" s="80"/>
    </row>
    <row r="4" spans="1:7" ht="15">
      <c r="A4" s="81" t="s">
        <v>1422</v>
      </c>
      <c r="B4" s="80" t="s">
        <v>2057</v>
      </c>
      <c r="C4" s="109"/>
      <c r="D4" s="80"/>
      <c r="E4" s="80"/>
      <c r="F4" s="80"/>
      <c r="G4" s="80"/>
    </row>
    <row r="5" spans="1:7" ht="15">
      <c r="A5" s="81" t="s">
        <v>1423</v>
      </c>
      <c r="B5" s="80">
        <v>358</v>
      </c>
      <c r="C5" s="109">
        <v>0.03622748431491601</v>
      </c>
      <c r="D5" s="80"/>
      <c r="E5" s="80"/>
      <c r="F5" s="80"/>
      <c r="G5" s="80"/>
    </row>
    <row r="6" spans="1:7" ht="15">
      <c r="A6" s="81" t="s">
        <v>1424</v>
      </c>
      <c r="B6" s="80">
        <v>86</v>
      </c>
      <c r="C6" s="109">
        <v>0.008702691762801052</v>
      </c>
      <c r="D6" s="80"/>
      <c r="E6" s="80"/>
      <c r="F6" s="80"/>
      <c r="G6" s="80"/>
    </row>
    <row r="7" spans="1:7" ht="15">
      <c r="A7" s="81" t="s">
        <v>1425</v>
      </c>
      <c r="B7" s="80">
        <v>0</v>
      </c>
      <c r="C7" s="109">
        <v>0</v>
      </c>
      <c r="D7" s="80"/>
      <c r="E7" s="80"/>
      <c r="F7" s="80"/>
      <c r="G7" s="80"/>
    </row>
    <row r="8" spans="1:7" ht="15">
      <c r="A8" s="81" t="s">
        <v>1426</v>
      </c>
      <c r="B8" s="80">
        <v>9438</v>
      </c>
      <c r="C8" s="109">
        <v>0.9550698239222829</v>
      </c>
      <c r="D8" s="80"/>
      <c r="E8" s="80"/>
      <c r="F8" s="80"/>
      <c r="G8" s="80"/>
    </row>
    <row r="9" spans="1:7" ht="15">
      <c r="A9" s="81" t="s">
        <v>1427</v>
      </c>
      <c r="B9" s="80">
        <v>9882</v>
      </c>
      <c r="C9" s="109">
        <v>1</v>
      </c>
      <c r="D9" s="80"/>
      <c r="E9" s="80"/>
      <c r="F9" s="80"/>
      <c r="G9" s="80"/>
    </row>
    <row r="10" spans="1:7" ht="15">
      <c r="A10" s="84" t="s">
        <v>1428</v>
      </c>
      <c r="B10" s="83">
        <v>121</v>
      </c>
      <c r="C10" s="110">
        <v>0.01790661364666384</v>
      </c>
      <c r="D10" s="83" t="s">
        <v>2059</v>
      </c>
      <c r="E10" s="83" t="b">
        <v>0</v>
      </c>
      <c r="F10" s="83" t="b">
        <v>0</v>
      </c>
      <c r="G10" s="83" t="b">
        <v>0</v>
      </c>
    </row>
    <row r="11" spans="1:7" ht="15">
      <c r="A11" s="84" t="s">
        <v>1429</v>
      </c>
      <c r="B11" s="83">
        <v>60</v>
      </c>
      <c r="C11" s="110">
        <v>0.01329853430474453</v>
      </c>
      <c r="D11" s="83" t="s">
        <v>2059</v>
      </c>
      <c r="E11" s="83" t="b">
        <v>0</v>
      </c>
      <c r="F11" s="83" t="b">
        <v>0</v>
      </c>
      <c r="G11" s="83" t="b">
        <v>0</v>
      </c>
    </row>
    <row r="12" spans="1:7" ht="15">
      <c r="A12" s="84" t="s">
        <v>1430</v>
      </c>
      <c r="B12" s="83">
        <v>58</v>
      </c>
      <c r="C12" s="110">
        <v>0.01319496136677537</v>
      </c>
      <c r="D12" s="83" t="s">
        <v>2059</v>
      </c>
      <c r="E12" s="83" t="b">
        <v>0</v>
      </c>
      <c r="F12" s="83" t="b">
        <v>0</v>
      </c>
      <c r="G12" s="83" t="b">
        <v>0</v>
      </c>
    </row>
    <row r="13" spans="1:7" ht="15">
      <c r="A13" s="84" t="s">
        <v>1431</v>
      </c>
      <c r="B13" s="83">
        <v>44</v>
      </c>
      <c r="C13" s="110">
        <v>0.011040601304709617</v>
      </c>
      <c r="D13" s="83" t="s">
        <v>2059</v>
      </c>
      <c r="E13" s="83" t="b">
        <v>0</v>
      </c>
      <c r="F13" s="83" t="b">
        <v>0</v>
      </c>
      <c r="G13" s="83" t="b">
        <v>0</v>
      </c>
    </row>
    <row r="14" spans="1:7" ht="15">
      <c r="A14" s="84" t="s">
        <v>1432</v>
      </c>
      <c r="B14" s="83">
        <v>33</v>
      </c>
      <c r="C14" s="110">
        <v>0.0096087483279346</v>
      </c>
      <c r="D14" s="83" t="s">
        <v>2059</v>
      </c>
      <c r="E14" s="83" t="b">
        <v>0</v>
      </c>
      <c r="F14" s="83" t="b">
        <v>0</v>
      </c>
      <c r="G14" s="83" t="b">
        <v>0</v>
      </c>
    </row>
    <row r="15" spans="1:7" ht="15">
      <c r="A15" s="84" t="s">
        <v>1433</v>
      </c>
      <c r="B15" s="83">
        <v>30</v>
      </c>
      <c r="C15" s="110">
        <v>0.00741750617879143</v>
      </c>
      <c r="D15" s="83" t="s">
        <v>2059</v>
      </c>
      <c r="E15" s="83" t="b">
        <v>0</v>
      </c>
      <c r="F15" s="83" t="b">
        <v>0</v>
      </c>
      <c r="G15" s="83" t="b">
        <v>0</v>
      </c>
    </row>
    <row r="16" spans="1:7" ht="15">
      <c r="A16" s="84" t="s">
        <v>1434</v>
      </c>
      <c r="B16" s="83">
        <v>28</v>
      </c>
      <c r="C16" s="110">
        <v>0.008308462066565526</v>
      </c>
      <c r="D16" s="83" t="s">
        <v>2059</v>
      </c>
      <c r="E16" s="83" t="b">
        <v>0</v>
      </c>
      <c r="F16" s="83" t="b">
        <v>0</v>
      </c>
      <c r="G16" s="83" t="b">
        <v>0</v>
      </c>
    </row>
    <row r="17" spans="1:7" ht="15">
      <c r="A17" s="84" t="s">
        <v>1435</v>
      </c>
      <c r="B17" s="83">
        <v>28</v>
      </c>
      <c r="C17" s="110">
        <v>0.007242589138211214</v>
      </c>
      <c r="D17" s="83" t="s">
        <v>2059</v>
      </c>
      <c r="E17" s="83" t="b">
        <v>0</v>
      </c>
      <c r="F17" s="83" t="b">
        <v>0</v>
      </c>
      <c r="G17" s="83" t="b">
        <v>0</v>
      </c>
    </row>
    <row r="18" spans="1:7" ht="15">
      <c r="A18" s="84" t="s">
        <v>1436</v>
      </c>
      <c r="B18" s="83">
        <v>28</v>
      </c>
      <c r="C18" s="110">
        <v>0.00902548515789008</v>
      </c>
      <c r="D18" s="83" t="s">
        <v>2059</v>
      </c>
      <c r="E18" s="83" t="b">
        <v>0</v>
      </c>
      <c r="F18" s="83" t="b">
        <v>0</v>
      </c>
      <c r="G18" s="83" t="b">
        <v>0</v>
      </c>
    </row>
    <row r="19" spans="1:7" ht="15">
      <c r="A19" s="84" t="s">
        <v>1437</v>
      </c>
      <c r="B19" s="83">
        <v>26</v>
      </c>
      <c r="C19" s="110">
        <v>0.008028276037635562</v>
      </c>
      <c r="D19" s="83" t="s">
        <v>2059</v>
      </c>
      <c r="E19" s="83" t="b">
        <v>0</v>
      </c>
      <c r="F19" s="83" t="b">
        <v>0</v>
      </c>
      <c r="G19" s="83" t="b">
        <v>0</v>
      </c>
    </row>
    <row r="20" spans="1:7" ht="15">
      <c r="A20" s="84" t="s">
        <v>1438</v>
      </c>
      <c r="B20" s="83">
        <v>23</v>
      </c>
      <c r="C20" s="110">
        <v>0.006348777343745318</v>
      </c>
      <c r="D20" s="83" t="s">
        <v>2059</v>
      </c>
      <c r="E20" s="83" t="b">
        <v>1</v>
      </c>
      <c r="F20" s="83" t="b">
        <v>0</v>
      </c>
      <c r="G20" s="83" t="b">
        <v>0</v>
      </c>
    </row>
    <row r="21" spans="1:7" ht="15">
      <c r="A21" s="84" t="s">
        <v>1439</v>
      </c>
      <c r="B21" s="83">
        <v>20</v>
      </c>
      <c r="C21" s="110">
        <v>0.006756817052159245</v>
      </c>
      <c r="D21" s="83" t="s">
        <v>2059</v>
      </c>
      <c r="E21" s="83" t="b">
        <v>1</v>
      </c>
      <c r="F21" s="83" t="b">
        <v>0</v>
      </c>
      <c r="G21" s="83" t="b">
        <v>0</v>
      </c>
    </row>
    <row r="22" spans="1:7" ht="15">
      <c r="A22" s="84" t="s">
        <v>1440</v>
      </c>
      <c r="B22" s="83">
        <v>20</v>
      </c>
      <c r="C22" s="110">
        <v>0.006051757671782745</v>
      </c>
      <c r="D22" s="83" t="s">
        <v>2059</v>
      </c>
      <c r="E22" s="83" t="b">
        <v>1</v>
      </c>
      <c r="F22" s="83" t="b">
        <v>0</v>
      </c>
      <c r="G22" s="83" t="b">
        <v>0</v>
      </c>
    </row>
    <row r="23" spans="1:7" ht="15">
      <c r="A23" s="84" t="s">
        <v>1441</v>
      </c>
      <c r="B23" s="83">
        <v>19</v>
      </c>
      <c r="C23" s="110">
        <v>0.00658372551831532</v>
      </c>
      <c r="D23" s="83" t="s">
        <v>2059</v>
      </c>
      <c r="E23" s="83" t="b">
        <v>0</v>
      </c>
      <c r="F23" s="83" t="b">
        <v>0</v>
      </c>
      <c r="G23" s="83" t="b">
        <v>0</v>
      </c>
    </row>
    <row r="24" spans="1:7" ht="15">
      <c r="A24" s="84" t="s">
        <v>1442</v>
      </c>
      <c r="B24" s="83">
        <v>18</v>
      </c>
      <c r="C24" s="110">
        <v>0.005936629410129846</v>
      </c>
      <c r="D24" s="83" t="s">
        <v>2059</v>
      </c>
      <c r="E24" s="83" t="b">
        <v>0</v>
      </c>
      <c r="F24" s="83" t="b">
        <v>0</v>
      </c>
      <c r="G24" s="83" t="b">
        <v>0</v>
      </c>
    </row>
    <row r="25" spans="1:7" ht="15">
      <c r="A25" s="84" t="s">
        <v>1443</v>
      </c>
      <c r="B25" s="83">
        <v>18</v>
      </c>
      <c r="C25" s="110">
        <v>0.0065927293458265986</v>
      </c>
      <c r="D25" s="83" t="s">
        <v>2059</v>
      </c>
      <c r="E25" s="83" t="b">
        <v>0</v>
      </c>
      <c r="F25" s="83" t="b">
        <v>0</v>
      </c>
      <c r="G25" s="83" t="b">
        <v>0</v>
      </c>
    </row>
    <row r="26" spans="1:7" ht="15">
      <c r="A26" s="84" t="s">
        <v>1444</v>
      </c>
      <c r="B26" s="83">
        <v>18</v>
      </c>
      <c r="C26" s="110">
        <v>0.006237213648930303</v>
      </c>
      <c r="D26" s="83" t="s">
        <v>2059</v>
      </c>
      <c r="E26" s="83" t="b">
        <v>0</v>
      </c>
      <c r="F26" s="83" t="b">
        <v>0</v>
      </c>
      <c r="G26" s="83" t="b">
        <v>0</v>
      </c>
    </row>
    <row r="27" spans="1:7" ht="15">
      <c r="A27" s="84" t="s">
        <v>1445</v>
      </c>
      <c r="B27" s="83">
        <v>18</v>
      </c>
      <c r="C27" s="110">
        <v>0.005802097601500767</v>
      </c>
      <c r="D27" s="83" t="s">
        <v>2059</v>
      </c>
      <c r="E27" s="83" t="b">
        <v>0</v>
      </c>
      <c r="F27" s="83" t="b">
        <v>0</v>
      </c>
      <c r="G27" s="83" t="b">
        <v>0</v>
      </c>
    </row>
    <row r="28" spans="1:7" ht="15">
      <c r="A28" s="84" t="s">
        <v>1446</v>
      </c>
      <c r="B28" s="83">
        <v>18</v>
      </c>
      <c r="C28" s="110">
        <v>0.007027845393256136</v>
      </c>
      <c r="D28" s="83" t="s">
        <v>2059</v>
      </c>
      <c r="E28" s="83" t="b">
        <v>0</v>
      </c>
      <c r="F28" s="83" t="b">
        <v>0</v>
      </c>
      <c r="G28" s="83" t="b">
        <v>0</v>
      </c>
    </row>
    <row r="29" spans="1:7" ht="15">
      <c r="A29" s="84" t="s">
        <v>1447</v>
      </c>
      <c r="B29" s="83">
        <v>17</v>
      </c>
      <c r="C29" s="110">
        <v>0.005479758845861835</v>
      </c>
      <c r="D29" s="83" t="s">
        <v>2059</v>
      </c>
      <c r="E29" s="83" t="b">
        <v>0</v>
      </c>
      <c r="F29" s="83" t="b">
        <v>0</v>
      </c>
      <c r="G29" s="83" t="b">
        <v>0</v>
      </c>
    </row>
    <row r="30" spans="1:7" ht="15">
      <c r="A30" s="84" t="s">
        <v>1448</v>
      </c>
      <c r="B30" s="83">
        <v>17</v>
      </c>
      <c r="C30" s="110">
        <v>0.006226466604391787</v>
      </c>
      <c r="D30" s="83" t="s">
        <v>2059</v>
      </c>
      <c r="E30" s="83" t="b">
        <v>0</v>
      </c>
      <c r="F30" s="83" t="b">
        <v>0</v>
      </c>
      <c r="G30" s="83" t="b">
        <v>0</v>
      </c>
    </row>
    <row r="31" spans="1:7" ht="15">
      <c r="A31" s="84" t="s">
        <v>1449</v>
      </c>
      <c r="B31" s="83">
        <v>16</v>
      </c>
      <c r="C31" s="110">
        <v>0.005405453641727396</v>
      </c>
      <c r="D31" s="83" t="s">
        <v>2059</v>
      </c>
      <c r="E31" s="83" t="b">
        <v>0</v>
      </c>
      <c r="F31" s="83" t="b">
        <v>0</v>
      </c>
      <c r="G31" s="83" t="b">
        <v>0</v>
      </c>
    </row>
    <row r="32" spans="1:7" ht="15">
      <c r="A32" s="84" t="s">
        <v>1450</v>
      </c>
      <c r="B32" s="83">
        <v>16</v>
      </c>
      <c r="C32" s="110">
        <v>0.005277003920115418</v>
      </c>
      <c r="D32" s="83" t="s">
        <v>2059</v>
      </c>
      <c r="E32" s="83" t="b">
        <v>0</v>
      </c>
      <c r="F32" s="83" t="b">
        <v>0</v>
      </c>
      <c r="G32" s="83" t="b">
        <v>0</v>
      </c>
    </row>
    <row r="33" spans="1:7" ht="15">
      <c r="A33" s="84" t="s">
        <v>1451</v>
      </c>
      <c r="B33" s="83">
        <v>16</v>
      </c>
      <c r="C33" s="110">
        <v>0.005860203862956976</v>
      </c>
      <c r="D33" s="83" t="s">
        <v>2059</v>
      </c>
      <c r="E33" s="83" t="b">
        <v>0</v>
      </c>
      <c r="F33" s="83" t="b">
        <v>0</v>
      </c>
      <c r="G33" s="83" t="b">
        <v>0</v>
      </c>
    </row>
    <row r="34" spans="1:7" ht="15">
      <c r="A34" s="84" t="s">
        <v>1452</v>
      </c>
      <c r="B34" s="83">
        <v>15</v>
      </c>
      <c r="C34" s="110">
        <v>0.005067612789119433</v>
      </c>
      <c r="D34" s="83" t="s">
        <v>2059</v>
      </c>
      <c r="E34" s="83" t="b">
        <v>0</v>
      </c>
      <c r="F34" s="83" t="b">
        <v>0</v>
      </c>
      <c r="G34" s="83" t="b">
        <v>0</v>
      </c>
    </row>
    <row r="35" spans="1:7" ht="15">
      <c r="A35" s="84" t="s">
        <v>1453</v>
      </c>
      <c r="B35" s="83">
        <v>15</v>
      </c>
      <c r="C35" s="110">
        <v>0.0056651464990253135</v>
      </c>
      <c r="D35" s="83" t="s">
        <v>2059</v>
      </c>
      <c r="E35" s="83" t="b">
        <v>0</v>
      </c>
      <c r="F35" s="83" t="b">
        <v>0</v>
      </c>
      <c r="G35" s="83" t="b">
        <v>0</v>
      </c>
    </row>
    <row r="36" spans="1:7" ht="15">
      <c r="A36" s="84" t="s">
        <v>1454</v>
      </c>
      <c r="B36" s="83">
        <v>15</v>
      </c>
      <c r="C36" s="110">
        <v>0.004835081334583971</v>
      </c>
      <c r="D36" s="83" t="s">
        <v>2059</v>
      </c>
      <c r="E36" s="83" t="b">
        <v>1</v>
      </c>
      <c r="F36" s="83" t="b">
        <v>0</v>
      </c>
      <c r="G36" s="83" t="b">
        <v>0</v>
      </c>
    </row>
    <row r="37" spans="1:7" ht="15">
      <c r="A37" s="84" t="s">
        <v>1455</v>
      </c>
      <c r="B37" s="83">
        <v>14</v>
      </c>
      <c r="C37" s="110">
        <v>0.00528747006575696</v>
      </c>
      <c r="D37" s="83" t="s">
        <v>2059</v>
      </c>
      <c r="E37" s="83" t="b">
        <v>0</v>
      </c>
      <c r="F37" s="83" t="b">
        <v>0</v>
      </c>
      <c r="G37" s="83" t="b">
        <v>0</v>
      </c>
    </row>
    <row r="38" spans="1:7" ht="15">
      <c r="A38" s="84" t="s">
        <v>1456</v>
      </c>
      <c r="B38" s="83">
        <v>14</v>
      </c>
      <c r="C38" s="110">
        <v>0.004729771936511471</v>
      </c>
      <c r="D38" s="83" t="s">
        <v>2059</v>
      </c>
      <c r="E38" s="83" t="b">
        <v>1</v>
      </c>
      <c r="F38" s="83" t="b">
        <v>0</v>
      </c>
      <c r="G38" s="83" t="b">
        <v>0</v>
      </c>
    </row>
    <row r="39" spans="1:7" ht="15">
      <c r="A39" s="84" t="s">
        <v>1457</v>
      </c>
      <c r="B39" s="83">
        <v>14</v>
      </c>
      <c r="C39" s="110">
        <v>0.004983129217649053</v>
      </c>
      <c r="D39" s="83" t="s">
        <v>2059</v>
      </c>
      <c r="E39" s="83" t="b">
        <v>0</v>
      </c>
      <c r="F39" s="83" t="b">
        <v>0</v>
      </c>
      <c r="G39" s="83" t="b">
        <v>0</v>
      </c>
    </row>
    <row r="40" spans="1:7" ht="15">
      <c r="A40" s="84" t="s">
        <v>1458</v>
      </c>
      <c r="B40" s="83">
        <v>14</v>
      </c>
      <c r="C40" s="110">
        <v>0.004729771936511471</v>
      </c>
      <c r="D40" s="83" t="s">
        <v>2059</v>
      </c>
      <c r="E40" s="83" t="b">
        <v>1</v>
      </c>
      <c r="F40" s="83" t="b">
        <v>0</v>
      </c>
      <c r="G40" s="83" t="b">
        <v>0</v>
      </c>
    </row>
    <row r="41" spans="1:7" ht="15">
      <c r="A41" s="84" t="s">
        <v>1459</v>
      </c>
      <c r="B41" s="83">
        <v>14</v>
      </c>
      <c r="C41" s="110">
        <v>0.004729771936511471</v>
      </c>
      <c r="D41" s="83" t="s">
        <v>2059</v>
      </c>
      <c r="E41" s="83" t="b">
        <v>0</v>
      </c>
      <c r="F41" s="83" t="b">
        <v>0</v>
      </c>
      <c r="G41" s="83" t="b">
        <v>0</v>
      </c>
    </row>
    <row r="42" spans="1:7" ht="15">
      <c r="A42" s="84" t="s">
        <v>1460</v>
      </c>
      <c r="B42" s="83">
        <v>13</v>
      </c>
      <c r="C42" s="110">
        <v>0.005263716830923598</v>
      </c>
      <c r="D42" s="83" t="s">
        <v>2059</v>
      </c>
      <c r="E42" s="83" t="b">
        <v>0</v>
      </c>
      <c r="F42" s="83" t="b">
        <v>0</v>
      </c>
      <c r="G42" s="83" t="b">
        <v>0</v>
      </c>
    </row>
    <row r="43" spans="1:7" ht="15">
      <c r="A43" s="84" t="s">
        <v>1461</v>
      </c>
      <c r="B43" s="83">
        <v>12</v>
      </c>
      <c r="C43" s="110">
        <v>0.004158142432620201</v>
      </c>
      <c r="D43" s="83" t="s">
        <v>2059</v>
      </c>
      <c r="E43" s="83" t="b">
        <v>1</v>
      </c>
      <c r="F43" s="83" t="b">
        <v>0</v>
      </c>
      <c r="G43" s="83" t="b">
        <v>0</v>
      </c>
    </row>
    <row r="44" spans="1:7" ht="15">
      <c r="A44" s="84" t="s">
        <v>1462</v>
      </c>
      <c r="B44" s="83">
        <v>12</v>
      </c>
      <c r="C44" s="110">
        <v>0.004395152897217732</v>
      </c>
      <c r="D44" s="83" t="s">
        <v>2059</v>
      </c>
      <c r="E44" s="83" t="b">
        <v>0</v>
      </c>
      <c r="F44" s="83" t="b">
        <v>0</v>
      </c>
      <c r="G44" s="83" t="b">
        <v>0</v>
      </c>
    </row>
    <row r="45" spans="1:7" ht="15">
      <c r="A45" s="84" t="s">
        <v>1463</v>
      </c>
      <c r="B45" s="83">
        <v>12</v>
      </c>
      <c r="C45" s="110">
        <v>0.004395152897217732</v>
      </c>
      <c r="D45" s="83" t="s">
        <v>2059</v>
      </c>
      <c r="E45" s="83" t="b">
        <v>0</v>
      </c>
      <c r="F45" s="83" t="b">
        <v>0</v>
      </c>
      <c r="G45" s="83" t="b">
        <v>0</v>
      </c>
    </row>
    <row r="46" spans="1:7" ht="15">
      <c r="A46" s="84" t="s">
        <v>1464</v>
      </c>
      <c r="B46" s="83">
        <v>12</v>
      </c>
      <c r="C46" s="110">
        <v>0.004858815536237167</v>
      </c>
      <c r="D46" s="83" t="s">
        <v>2059</v>
      </c>
      <c r="E46" s="83" t="b">
        <v>0</v>
      </c>
      <c r="F46" s="83" t="b">
        <v>0</v>
      </c>
      <c r="G46" s="83" t="b">
        <v>0</v>
      </c>
    </row>
    <row r="47" spans="1:7" ht="15">
      <c r="A47" s="84" t="s">
        <v>1465</v>
      </c>
      <c r="B47" s="83">
        <v>12</v>
      </c>
      <c r="C47" s="110">
        <v>0.004685230262170757</v>
      </c>
      <c r="D47" s="83" t="s">
        <v>2059</v>
      </c>
      <c r="E47" s="83" t="b">
        <v>0</v>
      </c>
      <c r="F47" s="83" t="b">
        <v>0</v>
      </c>
      <c r="G47" s="83" t="b">
        <v>0</v>
      </c>
    </row>
    <row r="48" spans="1:7" ht="15">
      <c r="A48" s="84" t="s">
        <v>1466</v>
      </c>
      <c r="B48" s="83">
        <v>12</v>
      </c>
      <c r="C48" s="110">
        <v>0.0042712536151277595</v>
      </c>
      <c r="D48" s="83" t="s">
        <v>2059</v>
      </c>
      <c r="E48" s="83" t="b">
        <v>0</v>
      </c>
      <c r="F48" s="83" t="b">
        <v>0</v>
      </c>
      <c r="G48" s="83" t="b">
        <v>0</v>
      </c>
    </row>
    <row r="49" spans="1:7" ht="15">
      <c r="A49" s="84" t="s">
        <v>1467</v>
      </c>
      <c r="B49" s="83">
        <v>12</v>
      </c>
      <c r="C49" s="110">
        <v>0.004158142432620201</v>
      </c>
      <c r="D49" s="83" t="s">
        <v>2059</v>
      </c>
      <c r="E49" s="83" t="b">
        <v>0</v>
      </c>
      <c r="F49" s="83" t="b">
        <v>0</v>
      </c>
      <c r="G49" s="83" t="b">
        <v>0</v>
      </c>
    </row>
    <row r="50" spans="1:7" ht="15">
      <c r="A50" s="84" t="s">
        <v>1468</v>
      </c>
      <c r="B50" s="83">
        <v>11</v>
      </c>
      <c r="C50" s="110">
        <v>0.003915315813867113</v>
      </c>
      <c r="D50" s="83" t="s">
        <v>2059</v>
      </c>
      <c r="E50" s="83" t="b">
        <v>0</v>
      </c>
      <c r="F50" s="83" t="b">
        <v>0</v>
      </c>
      <c r="G50" s="83" t="b">
        <v>0</v>
      </c>
    </row>
    <row r="51" spans="1:7" ht="15">
      <c r="A51" s="84" t="s">
        <v>1469</v>
      </c>
      <c r="B51" s="83">
        <v>11</v>
      </c>
      <c r="C51" s="110">
        <v>0.0040288901557829215</v>
      </c>
      <c r="D51" s="83" t="s">
        <v>2059</v>
      </c>
      <c r="E51" s="83" t="b">
        <v>0</v>
      </c>
      <c r="F51" s="83" t="b">
        <v>0</v>
      </c>
      <c r="G51" s="83" t="b">
        <v>0</v>
      </c>
    </row>
    <row r="52" spans="1:7" ht="15">
      <c r="A52" s="84" t="s">
        <v>1470</v>
      </c>
      <c r="B52" s="83">
        <v>11</v>
      </c>
      <c r="C52" s="110">
        <v>0.003915315813867113</v>
      </c>
      <c r="D52" s="83" t="s">
        <v>2059</v>
      </c>
      <c r="E52" s="83" t="b">
        <v>0</v>
      </c>
      <c r="F52" s="83" t="b">
        <v>0</v>
      </c>
      <c r="G52" s="83" t="b">
        <v>0</v>
      </c>
    </row>
    <row r="53" spans="1:7" ht="15">
      <c r="A53" s="84" t="s">
        <v>1471</v>
      </c>
      <c r="B53" s="83">
        <v>11</v>
      </c>
      <c r="C53" s="110">
        <v>0.004154440765951897</v>
      </c>
      <c r="D53" s="83" t="s">
        <v>2059</v>
      </c>
      <c r="E53" s="83" t="b">
        <v>0</v>
      </c>
      <c r="F53" s="83" t="b">
        <v>0</v>
      </c>
      <c r="G53" s="83" t="b">
        <v>0</v>
      </c>
    </row>
    <row r="54" spans="1:7" ht="15">
      <c r="A54" s="84" t="s">
        <v>1472</v>
      </c>
      <c r="B54" s="83">
        <v>11</v>
      </c>
      <c r="C54" s="110">
        <v>0.0044539142415507375</v>
      </c>
      <c r="D54" s="83" t="s">
        <v>2059</v>
      </c>
      <c r="E54" s="83" t="b">
        <v>0</v>
      </c>
      <c r="F54" s="83" t="b">
        <v>0</v>
      </c>
      <c r="G54" s="83" t="b">
        <v>0</v>
      </c>
    </row>
    <row r="55" spans="1:7" ht="15">
      <c r="A55" s="84" t="s">
        <v>1473</v>
      </c>
      <c r="B55" s="83">
        <v>11</v>
      </c>
      <c r="C55" s="110">
        <v>0.004294794406989861</v>
      </c>
      <c r="D55" s="83" t="s">
        <v>2059</v>
      </c>
      <c r="E55" s="83" t="b">
        <v>0</v>
      </c>
      <c r="F55" s="83" t="b">
        <v>0</v>
      </c>
      <c r="G55" s="83" t="b">
        <v>0</v>
      </c>
    </row>
    <row r="56" spans="1:7" ht="15">
      <c r="A56" s="84" t="s">
        <v>1474</v>
      </c>
      <c r="B56" s="83">
        <v>11</v>
      </c>
      <c r="C56" s="110">
        <v>0.0046376046097065735</v>
      </c>
      <c r="D56" s="83" t="s">
        <v>2059</v>
      </c>
      <c r="E56" s="83" t="b">
        <v>0</v>
      </c>
      <c r="F56" s="83" t="b">
        <v>0</v>
      </c>
      <c r="G56" s="83" t="b">
        <v>0</v>
      </c>
    </row>
    <row r="57" spans="1:7" ht="15">
      <c r="A57" s="84" t="s">
        <v>1475</v>
      </c>
      <c r="B57" s="83">
        <v>10</v>
      </c>
      <c r="C57" s="110">
        <v>0.00366262741434811</v>
      </c>
      <c r="D57" s="83" t="s">
        <v>2059</v>
      </c>
      <c r="E57" s="83" t="b">
        <v>0</v>
      </c>
      <c r="F57" s="83" t="b">
        <v>0</v>
      </c>
      <c r="G57" s="83" t="b">
        <v>0</v>
      </c>
    </row>
    <row r="58" spans="1:7" ht="15">
      <c r="A58" s="84" t="s">
        <v>1476</v>
      </c>
      <c r="B58" s="83">
        <v>10</v>
      </c>
      <c r="C58" s="110">
        <v>0.004049012946864307</v>
      </c>
      <c r="D58" s="83" t="s">
        <v>2059</v>
      </c>
      <c r="E58" s="83" t="b">
        <v>0</v>
      </c>
      <c r="F58" s="83" t="b">
        <v>0</v>
      </c>
      <c r="G58" s="83" t="b">
        <v>0</v>
      </c>
    </row>
    <row r="59" spans="1:7" ht="15">
      <c r="A59" s="84" t="s">
        <v>1477</v>
      </c>
      <c r="B59" s="83">
        <v>10</v>
      </c>
      <c r="C59" s="110">
        <v>0.003776764332683543</v>
      </c>
      <c r="D59" s="83" t="s">
        <v>2059</v>
      </c>
      <c r="E59" s="83" t="b">
        <v>0</v>
      </c>
      <c r="F59" s="83" t="b">
        <v>0</v>
      </c>
      <c r="G59" s="83" t="b">
        <v>0</v>
      </c>
    </row>
    <row r="60" spans="1:7" ht="15">
      <c r="A60" s="84" t="s">
        <v>1478</v>
      </c>
      <c r="B60" s="83">
        <v>10</v>
      </c>
      <c r="C60" s="110">
        <v>0.003776764332683543</v>
      </c>
      <c r="D60" s="83" t="s">
        <v>2059</v>
      </c>
      <c r="E60" s="83" t="b">
        <v>0</v>
      </c>
      <c r="F60" s="83" t="b">
        <v>0</v>
      </c>
      <c r="G60" s="83" t="b">
        <v>0</v>
      </c>
    </row>
    <row r="61" spans="1:7" ht="15">
      <c r="A61" s="84" t="s">
        <v>1479</v>
      </c>
      <c r="B61" s="83">
        <v>10</v>
      </c>
      <c r="C61" s="110">
        <v>0.004413512911140281</v>
      </c>
      <c r="D61" s="83" t="s">
        <v>2059</v>
      </c>
      <c r="E61" s="83" t="b">
        <v>0</v>
      </c>
      <c r="F61" s="83" t="b">
        <v>0</v>
      </c>
      <c r="G61" s="83" t="b">
        <v>0</v>
      </c>
    </row>
    <row r="62" spans="1:7" ht="15">
      <c r="A62" s="84" t="s">
        <v>1480</v>
      </c>
      <c r="B62" s="83">
        <v>10</v>
      </c>
      <c r="C62" s="110">
        <v>0.004413512911140281</v>
      </c>
      <c r="D62" s="83" t="s">
        <v>2059</v>
      </c>
      <c r="E62" s="83" t="b">
        <v>0</v>
      </c>
      <c r="F62" s="83" t="b">
        <v>0</v>
      </c>
      <c r="G62" s="83" t="b">
        <v>0</v>
      </c>
    </row>
    <row r="63" spans="1:7" ht="15">
      <c r="A63" s="84" t="s">
        <v>1481</v>
      </c>
      <c r="B63" s="83">
        <v>10</v>
      </c>
      <c r="C63" s="110">
        <v>0.004413512911140281</v>
      </c>
      <c r="D63" s="83" t="s">
        <v>2059</v>
      </c>
      <c r="E63" s="83" t="b">
        <v>0</v>
      </c>
      <c r="F63" s="83" t="b">
        <v>0</v>
      </c>
      <c r="G63" s="83" t="b">
        <v>0</v>
      </c>
    </row>
    <row r="64" spans="1:7" ht="15">
      <c r="A64" s="84" t="s">
        <v>1482</v>
      </c>
      <c r="B64" s="83">
        <v>9</v>
      </c>
      <c r="C64" s="110">
        <v>0.003513922696628068</v>
      </c>
      <c r="D64" s="83" t="s">
        <v>2059</v>
      </c>
      <c r="E64" s="83" t="b">
        <v>0</v>
      </c>
      <c r="F64" s="83" t="b">
        <v>0</v>
      </c>
      <c r="G64" s="83" t="b">
        <v>0</v>
      </c>
    </row>
    <row r="65" spans="1:7" ht="15">
      <c r="A65" s="84" t="s">
        <v>1483</v>
      </c>
      <c r="B65" s="83">
        <v>9</v>
      </c>
      <c r="C65" s="110">
        <v>0.003399087899415189</v>
      </c>
      <c r="D65" s="83" t="s">
        <v>2059</v>
      </c>
      <c r="E65" s="83" t="b">
        <v>0</v>
      </c>
      <c r="F65" s="83" t="b">
        <v>0</v>
      </c>
      <c r="G65" s="83" t="b">
        <v>0</v>
      </c>
    </row>
    <row r="66" spans="1:7" ht="15">
      <c r="A66" s="84" t="s">
        <v>1484</v>
      </c>
      <c r="B66" s="83">
        <v>9</v>
      </c>
      <c r="C66" s="110">
        <v>0.003399087899415189</v>
      </c>
      <c r="D66" s="83" t="s">
        <v>2059</v>
      </c>
      <c r="E66" s="83" t="b">
        <v>1</v>
      </c>
      <c r="F66" s="83" t="b">
        <v>0</v>
      </c>
      <c r="G66" s="83" t="b">
        <v>0</v>
      </c>
    </row>
    <row r="67" spans="1:7" ht="15">
      <c r="A67" s="84" t="s">
        <v>1485</v>
      </c>
      <c r="B67" s="83">
        <v>9</v>
      </c>
      <c r="C67" s="110">
        <v>0.003399087899415189</v>
      </c>
      <c r="D67" s="83" t="s">
        <v>2059</v>
      </c>
      <c r="E67" s="83" t="b">
        <v>0</v>
      </c>
      <c r="F67" s="83" t="b">
        <v>0</v>
      </c>
      <c r="G67" s="83" t="b">
        <v>0</v>
      </c>
    </row>
    <row r="68" spans="1:7" ht="15">
      <c r="A68" s="84" t="s">
        <v>1486</v>
      </c>
      <c r="B68" s="83">
        <v>9</v>
      </c>
      <c r="C68" s="110">
        <v>0.003513922696628068</v>
      </c>
      <c r="D68" s="83" t="s">
        <v>2059</v>
      </c>
      <c r="E68" s="83" t="b">
        <v>0</v>
      </c>
      <c r="F68" s="83" t="b">
        <v>0</v>
      </c>
      <c r="G68" s="83" t="b">
        <v>0</v>
      </c>
    </row>
    <row r="69" spans="1:7" ht="15">
      <c r="A69" s="84" t="s">
        <v>1487</v>
      </c>
      <c r="B69" s="83">
        <v>9</v>
      </c>
      <c r="C69" s="110">
        <v>0.003644111652177876</v>
      </c>
      <c r="D69" s="83" t="s">
        <v>2059</v>
      </c>
      <c r="E69" s="83" t="b">
        <v>0</v>
      </c>
      <c r="F69" s="83" t="b">
        <v>0</v>
      </c>
      <c r="G69" s="83" t="b">
        <v>0</v>
      </c>
    </row>
    <row r="70" spans="1:7" ht="15">
      <c r="A70" s="84" t="s">
        <v>1488</v>
      </c>
      <c r="B70" s="83">
        <v>9</v>
      </c>
      <c r="C70" s="110">
        <v>0.004189719643741022</v>
      </c>
      <c r="D70" s="83" t="s">
        <v>2059</v>
      </c>
      <c r="E70" s="83" t="b">
        <v>0</v>
      </c>
      <c r="F70" s="83" t="b">
        <v>0</v>
      </c>
      <c r="G70" s="83" t="b">
        <v>0</v>
      </c>
    </row>
    <row r="71" spans="1:7" ht="15">
      <c r="A71" s="84" t="s">
        <v>1489</v>
      </c>
      <c r="B71" s="83">
        <v>9</v>
      </c>
      <c r="C71" s="110">
        <v>0.003513922696628068</v>
      </c>
      <c r="D71" s="83" t="s">
        <v>2059</v>
      </c>
      <c r="E71" s="83" t="b">
        <v>0</v>
      </c>
      <c r="F71" s="83" t="b">
        <v>0</v>
      </c>
      <c r="G71" s="83" t="b">
        <v>0</v>
      </c>
    </row>
    <row r="72" spans="1:7" ht="15">
      <c r="A72" s="84" t="s">
        <v>1490</v>
      </c>
      <c r="B72" s="83">
        <v>9</v>
      </c>
      <c r="C72" s="110">
        <v>0.003644111652177876</v>
      </c>
      <c r="D72" s="83" t="s">
        <v>2059</v>
      </c>
      <c r="E72" s="83" t="b">
        <v>0</v>
      </c>
      <c r="F72" s="83" t="b">
        <v>0</v>
      </c>
      <c r="G72" s="83" t="b">
        <v>0</v>
      </c>
    </row>
    <row r="73" spans="1:7" ht="15">
      <c r="A73" s="84" t="s">
        <v>1491</v>
      </c>
      <c r="B73" s="83">
        <v>8</v>
      </c>
      <c r="C73" s="110">
        <v>0.0031234868414471715</v>
      </c>
      <c r="D73" s="83" t="s">
        <v>2059</v>
      </c>
      <c r="E73" s="83" t="b">
        <v>0</v>
      </c>
      <c r="F73" s="83" t="b">
        <v>0</v>
      </c>
      <c r="G73" s="83" t="b">
        <v>0</v>
      </c>
    </row>
    <row r="74" spans="1:7" ht="15">
      <c r="A74" s="84" t="s">
        <v>1492</v>
      </c>
      <c r="B74" s="83">
        <v>8</v>
      </c>
      <c r="C74" s="110">
        <v>0.0031234868414471715</v>
      </c>
      <c r="D74" s="83" t="s">
        <v>2059</v>
      </c>
      <c r="E74" s="83" t="b">
        <v>0</v>
      </c>
      <c r="F74" s="83" t="b">
        <v>1</v>
      </c>
      <c r="G74" s="83" t="b">
        <v>0</v>
      </c>
    </row>
    <row r="75" spans="1:7" ht="15">
      <c r="A75" s="84" t="s">
        <v>1493</v>
      </c>
      <c r="B75" s="83">
        <v>8</v>
      </c>
      <c r="C75" s="110">
        <v>0.0031234868414471715</v>
      </c>
      <c r="D75" s="83" t="s">
        <v>2059</v>
      </c>
      <c r="E75" s="83" t="b">
        <v>1</v>
      </c>
      <c r="F75" s="83" t="b">
        <v>0</v>
      </c>
      <c r="G75" s="83" t="b">
        <v>0</v>
      </c>
    </row>
    <row r="76" spans="1:7" ht="15">
      <c r="A76" s="84" t="s">
        <v>1494</v>
      </c>
      <c r="B76" s="83">
        <v>8</v>
      </c>
      <c r="C76" s="110">
        <v>0.003372803352513871</v>
      </c>
      <c r="D76" s="83" t="s">
        <v>2059</v>
      </c>
      <c r="E76" s="83" t="b">
        <v>0</v>
      </c>
      <c r="F76" s="83" t="b">
        <v>0</v>
      </c>
      <c r="G76" s="83" t="b">
        <v>0</v>
      </c>
    </row>
    <row r="77" spans="1:7" ht="15">
      <c r="A77" s="84" t="s">
        <v>1495</v>
      </c>
      <c r="B77" s="83">
        <v>8</v>
      </c>
      <c r="C77" s="110">
        <v>0.003724195238880908</v>
      </c>
      <c r="D77" s="83" t="s">
        <v>2059</v>
      </c>
      <c r="E77" s="83" t="b">
        <v>0</v>
      </c>
      <c r="F77" s="83" t="b">
        <v>0</v>
      </c>
      <c r="G77" s="83" t="b">
        <v>0</v>
      </c>
    </row>
    <row r="78" spans="1:7" ht="15">
      <c r="A78" s="84" t="s">
        <v>1496</v>
      </c>
      <c r="B78" s="83">
        <v>8</v>
      </c>
      <c r="C78" s="110">
        <v>0.003372803352513871</v>
      </c>
      <c r="D78" s="83" t="s">
        <v>2059</v>
      </c>
      <c r="E78" s="83" t="b">
        <v>0</v>
      </c>
      <c r="F78" s="83" t="b">
        <v>0</v>
      </c>
      <c r="G78" s="83" t="b">
        <v>0</v>
      </c>
    </row>
    <row r="79" spans="1:7" ht="15">
      <c r="A79" s="84" t="s">
        <v>1497</v>
      </c>
      <c r="B79" s="83">
        <v>8</v>
      </c>
      <c r="C79" s="110">
        <v>0.0032392103574914455</v>
      </c>
      <c r="D79" s="83" t="s">
        <v>2059</v>
      </c>
      <c r="E79" s="83" t="b">
        <v>0</v>
      </c>
      <c r="F79" s="83" t="b">
        <v>0</v>
      </c>
      <c r="G79" s="83" t="b">
        <v>0</v>
      </c>
    </row>
    <row r="80" spans="1:7" ht="15">
      <c r="A80" s="84" t="s">
        <v>1498</v>
      </c>
      <c r="B80" s="83">
        <v>8</v>
      </c>
      <c r="C80" s="110">
        <v>0.003724195238880908</v>
      </c>
      <c r="D80" s="83" t="s">
        <v>2059</v>
      </c>
      <c r="E80" s="83" t="b">
        <v>0</v>
      </c>
      <c r="F80" s="83" t="b">
        <v>0</v>
      </c>
      <c r="G80" s="83" t="b">
        <v>0</v>
      </c>
    </row>
    <row r="81" spans="1:7" ht="15">
      <c r="A81" s="84" t="s">
        <v>1499</v>
      </c>
      <c r="B81" s="83">
        <v>8</v>
      </c>
      <c r="C81" s="110">
        <v>0.0031234868414471715</v>
      </c>
      <c r="D81" s="83" t="s">
        <v>2059</v>
      </c>
      <c r="E81" s="83" t="b">
        <v>0</v>
      </c>
      <c r="F81" s="83" t="b">
        <v>0</v>
      </c>
      <c r="G81" s="83" t="b">
        <v>0</v>
      </c>
    </row>
    <row r="82" spans="1:7" ht="15">
      <c r="A82" s="84" t="s">
        <v>1500</v>
      </c>
      <c r="B82" s="83">
        <v>8</v>
      </c>
      <c r="C82" s="110">
        <v>0.0032392103574914455</v>
      </c>
      <c r="D82" s="83" t="s">
        <v>2059</v>
      </c>
      <c r="E82" s="83" t="b">
        <v>0</v>
      </c>
      <c r="F82" s="83" t="b">
        <v>0</v>
      </c>
      <c r="G82" s="83" t="b">
        <v>0</v>
      </c>
    </row>
    <row r="83" spans="1:7" ht="15">
      <c r="A83" s="84" t="s">
        <v>1501</v>
      </c>
      <c r="B83" s="83">
        <v>8</v>
      </c>
      <c r="C83" s="110">
        <v>0.0032392103574914455</v>
      </c>
      <c r="D83" s="83" t="s">
        <v>2059</v>
      </c>
      <c r="E83" s="83" t="b">
        <v>0</v>
      </c>
      <c r="F83" s="83" t="b">
        <v>0</v>
      </c>
      <c r="G83" s="83" t="b">
        <v>0</v>
      </c>
    </row>
    <row r="84" spans="1:7" ht="15">
      <c r="A84" s="84" t="s">
        <v>1502</v>
      </c>
      <c r="B84" s="83">
        <v>8</v>
      </c>
      <c r="C84" s="110">
        <v>0.003372803352513871</v>
      </c>
      <c r="D84" s="83" t="s">
        <v>2059</v>
      </c>
      <c r="E84" s="83" t="b">
        <v>0</v>
      </c>
      <c r="F84" s="83" t="b">
        <v>0</v>
      </c>
      <c r="G84" s="83" t="b">
        <v>0</v>
      </c>
    </row>
    <row r="85" spans="1:7" ht="15">
      <c r="A85" s="84" t="s">
        <v>1503</v>
      </c>
      <c r="B85" s="83">
        <v>8</v>
      </c>
      <c r="C85" s="110">
        <v>0.003724195238880908</v>
      </c>
      <c r="D85" s="83" t="s">
        <v>2059</v>
      </c>
      <c r="E85" s="83" t="b">
        <v>0</v>
      </c>
      <c r="F85" s="83" t="b">
        <v>0</v>
      </c>
      <c r="G85" s="83" t="b">
        <v>0</v>
      </c>
    </row>
    <row r="86" spans="1:7" ht="15">
      <c r="A86" s="84" t="s">
        <v>1504</v>
      </c>
      <c r="B86" s="83">
        <v>8</v>
      </c>
      <c r="C86" s="110">
        <v>0.003724195238880908</v>
      </c>
      <c r="D86" s="83" t="s">
        <v>2059</v>
      </c>
      <c r="E86" s="83" t="b">
        <v>0</v>
      </c>
      <c r="F86" s="83" t="b">
        <v>0</v>
      </c>
      <c r="G86" s="83" t="b">
        <v>0</v>
      </c>
    </row>
    <row r="87" spans="1:7" ht="15">
      <c r="A87" s="84" t="s">
        <v>1505</v>
      </c>
      <c r="B87" s="83">
        <v>8</v>
      </c>
      <c r="C87" s="110">
        <v>0.003372803352513871</v>
      </c>
      <c r="D87" s="83" t="s">
        <v>2059</v>
      </c>
      <c r="E87" s="83" t="b">
        <v>0</v>
      </c>
      <c r="F87" s="83" t="b">
        <v>0</v>
      </c>
      <c r="G87" s="83" t="b">
        <v>0</v>
      </c>
    </row>
    <row r="88" spans="1:7" ht="15">
      <c r="A88" s="84" t="s">
        <v>1506</v>
      </c>
      <c r="B88" s="83">
        <v>8</v>
      </c>
      <c r="C88" s="110">
        <v>0.003724195238880908</v>
      </c>
      <c r="D88" s="83" t="s">
        <v>2059</v>
      </c>
      <c r="E88" s="83" t="b">
        <v>0</v>
      </c>
      <c r="F88" s="83" t="b">
        <v>0</v>
      </c>
      <c r="G88" s="83" t="b">
        <v>0</v>
      </c>
    </row>
    <row r="89" spans="1:7" ht="15">
      <c r="A89" s="84" t="s">
        <v>1507</v>
      </c>
      <c r="B89" s="83">
        <v>8</v>
      </c>
      <c r="C89" s="110">
        <v>0.003724195238880908</v>
      </c>
      <c r="D89" s="83" t="s">
        <v>2059</v>
      </c>
      <c r="E89" s="83" t="b">
        <v>0</v>
      </c>
      <c r="F89" s="83" t="b">
        <v>0</v>
      </c>
      <c r="G89" s="83" t="b">
        <v>0</v>
      </c>
    </row>
    <row r="90" spans="1:7" ht="15">
      <c r="A90" s="84" t="s">
        <v>1508</v>
      </c>
      <c r="B90" s="83">
        <v>7</v>
      </c>
      <c r="C90" s="110">
        <v>0.003089459037798196</v>
      </c>
      <c r="D90" s="83" t="s">
        <v>2059</v>
      </c>
      <c r="E90" s="83" t="b">
        <v>0</v>
      </c>
      <c r="F90" s="83" t="b">
        <v>0</v>
      </c>
      <c r="G90" s="83" t="b">
        <v>0</v>
      </c>
    </row>
    <row r="91" spans="1:7" ht="15">
      <c r="A91" s="84" t="s">
        <v>1509</v>
      </c>
      <c r="B91" s="83">
        <v>7</v>
      </c>
      <c r="C91" s="110">
        <v>0.0028343090628050144</v>
      </c>
      <c r="D91" s="83" t="s">
        <v>2059</v>
      </c>
      <c r="E91" s="83" t="b">
        <v>1</v>
      </c>
      <c r="F91" s="83" t="b">
        <v>0</v>
      </c>
      <c r="G91" s="83" t="b">
        <v>0</v>
      </c>
    </row>
    <row r="92" spans="1:7" ht="15">
      <c r="A92" s="84" t="s">
        <v>1510</v>
      </c>
      <c r="B92" s="83">
        <v>7</v>
      </c>
      <c r="C92" s="110">
        <v>0.0028343090628050144</v>
      </c>
      <c r="D92" s="83" t="s">
        <v>2059</v>
      </c>
      <c r="E92" s="83" t="b">
        <v>0</v>
      </c>
      <c r="F92" s="83" t="b">
        <v>0</v>
      </c>
      <c r="G92" s="83" t="b">
        <v>0</v>
      </c>
    </row>
    <row r="93" spans="1:7" ht="15">
      <c r="A93" s="84" t="s">
        <v>1511</v>
      </c>
      <c r="B93" s="83">
        <v>7</v>
      </c>
      <c r="C93" s="110">
        <v>0.002951202933449637</v>
      </c>
      <c r="D93" s="83" t="s">
        <v>2059</v>
      </c>
      <c r="E93" s="83" t="b">
        <v>0</v>
      </c>
      <c r="F93" s="83" t="b">
        <v>0</v>
      </c>
      <c r="G93" s="83" t="b">
        <v>0</v>
      </c>
    </row>
    <row r="94" spans="1:7" ht="15">
      <c r="A94" s="84" t="s">
        <v>1512</v>
      </c>
      <c r="B94" s="83">
        <v>7</v>
      </c>
      <c r="C94" s="110">
        <v>0.0028343090628050144</v>
      </c>
      <c r="D94" s="83" t="s">
        <v>2059</v>
      </c>
      <c r="E94" s="83" t="b">
        <v>0</v>
      </c>
      <c r="F94" s="83" t="b">
        <v>0</v>
      </c>
      <c r="G94" s="83" t="b">
        <v>0</v>
      </c>
    </row>
    <row r="95" spans="1:7" ht="15">
      <c r="A95" s="84" t="s">
        <v>1513</v>
      </c>
      <c r="B95" s="83">
        <v>7</v>
      </c>
      <c r="C95" s="110">
        <v>0.0028343090628050144</v>
      </c>
      <c r="D95" s="83" t="s">
        <v>2059</v>
      </c>
      <c r="E95" s="83" t="b">
        <v>0</v>
      </c>
      <c r="F95" s="83" t="b">
        <v>0</v>
      </c>
      <c r="G95" s="83" t="b">
        <v>0</v>
      </c>
    </row>
    <row r="96" spans="1:7" ht="15">
      <c r="A96" s="84" t="s">
        <v>1514</v>
      </c>
      <c r="B96" s="83">
        <v>7</v>
      </c>
      <c r="C96" s="110">
        <v>0.0028343090628050144</v>
      </c>
      <c r="D96" s="83" t="s">
        <v>2059</v>
      </c>
      <c r="E96" s="83" t="b">
        <v>0</v>
      </c>
      <c r="F96" s="83" t="b">
        <v>0</v>
      </c>
      <c r="G96" s="83" t="b">
        <v>0</v>
      </c>
    </row>
    <row r="97" spans="1:7" ht="15">
      <c r="A97" s="84" t="s">
        <v>1515</v>
      </c>
      <c r="B97" s="83">
        <v>7</v>
      </c>
      <c r="C97" s="110">
        <v>0.003089459037798196</v>
      </c>
      <c r="D97" s="83" t="s">
        <v>2059</v>
      </c>
      <c r="E97" s="83" t="b">
        <v>0</v>
      </c>
      <c r="F97" s="83" t="b">
        <v>0</v>
      </c>
      <c r="G97" s="83" t="b">
        <v>0</v>
      </c>
    </row>
    <row r="98" spans="1:7" ht="15">
      <c r="A98" s="84" t="s">
        <v>1516</v>
      </c>
      <c r="B98" s="83">
        <v>7</v>
      </c>
      <c r="C98" s="110">
        <v>0.0032586708340207942</v>
      </c>
      <c r="D98" s="83" t="s">
        <v>2059</v>
      </c>
      <c r="E98" s="83" t="b">
        <v>0</v>
      </c>
      <c r="F98" s="83" t="b">
        <v>0</v>
      </c>
      <c r="G98" s="83" t="b">
        <v>0</v>
      </c>
    </row>
    <row r="99" spans="1:7" ht="15">
      <c r="A99" s="84" t="s">
        <v>1517</v>
      </c>
      <c r="B99" s="83">
        <v>7</v>
      </c>
      <c r="C99" s="110">
        <v>0.0034768227812041566</v>
      </c>
      <c r="D99" s="83" t="s">
        <v>2059</v>
      </c>
      <c r="E99" s="83" t="b">
        <v>1</v>
      </c>
      <c r="F99" s="83" t="b">
        <v>0</v>
      </c>
      <c r="G99" s="83" t="b">
        <v>0</v>
      </c>
    </row>
    <row r="100" spans="1:7" ht="15">
      <c r="A100" s="84" t="s">
        <v>1518</v>
      </c>
      <c r="B100" s="83">
        <v>7</v>
      </c>
      <c r="C100" s="110">
        <v>0.0028343090628050144</v>
      </c>
      <c r="D100" s="83" t="s">
        <v>2059</v>
      </c>
      <c r="E100" s="83" t="b">
        <v>0</v>
      </c>
      <c r="F100" s="83" t="b">
        <v>0</v>
      </c>
      <c r="G100" s="83" t="b">
        <v>0</v>
      </c>
    </row>
    <row r="101" spans="1:7" ht="15">
      <c r="A101" s="84" t="s">
        <v>1519</v>
      </c>
      <c r="B101" s="83">
        <v>7</v>
      </c>
      <c r="C101" s="110">
        <v>0.0028343090628050144</v>
      </c>
      <c r="D101" s="83" t="s">
        <v>2059</v>
      </c>
      <c r="E101" s="83" t="b">
        <v>0</v>
      </c>
      <c r="F101" s="83" t="b">
        <v>1</v>
      </c>
      <c r="G101" s="83" t="b">
        <v>0</v>
      </c>
    </row>
    <row r="102" spans="1:7" ht="15">
      <c r="A102" s="84" t="s">
        <v>1520</v>
      </c>
      <c r="B102" s="83">
        <v>7</v>
      </c>
      <c r="C102" s="110">
        <v>0.0028343090628050144</v>
      </c>
      <c r="D102" s="83" t="s">
        <v>2059</v>
      </c>
      <c r="E102" s="83" t="b">
        <v>0</v>
      </c>
      <c r="F102" s="83" t="b">
        <v>1</v>
      </c>
      <c r="G102" s="83" t="b">
        <v>0</v>
      </c>
    </row>
    <row r="103" spans="1:7" ht="15">
      <c r="A103" s="84" t="s">
        <v>1521</v>
      </c>
      <c r="B103" s="83">
        <v>7</v>
      </c>
      <c r="C103" s="110">
        <v>0.002951202933449637</v>
      </c>
      <c r="D103" s="83" t="s">
        <v>2059</v>
      </c>
      <c r="E103" s="83" t="b">
        <v>0</v>
      </c>
      <c r="F103" s="83" t="b">
        <v>0</v>
      </c>
      <c r="G103" s="83" t="b">
        <v>0</v>
      </c>
    </row>
    <row r="104" spans="1:7" ht="15">
      <c r="A104" s="84" t="s">
        <v>1522</v>
      </c>
      <c r="B104" s="83">
        <v>7</v>
      </c>
      <c r="C104" s="110">
        <v>0.003089459037798196</v>
      </c>
      <c r="D104" s="83" t="s">
        <v>2059</v>
      </c>
      <c r="E104" s="83" t="b">
        <v>0</v>
      </c>
      <c r="F104" s="83" t="b">
        <v>0</v>
      </c>
      <c r="G104" s="83" t="b">
        <v>0</v>
      </c>
    </row>
    <row r="105" spans="1:7" ht="15">
      <c r="A105" s="84" t="s">
        <v>1523</v>
      </c>
      <c r="B105" s="83">
        <v>7</v>
      </c>
      <c r="C105" s="110">
        <v>0.0028343090628050144</v>
      </c>
      <c r="D105" s="83" t="s">
        <v>2059</v>
      </c>
      <c r="E105" s="83" t="b">
        <v>0</v>
      </c>
      <c r="F105" s="83" t="b">
        <v>0</v>
      </c>
      <c r="G105" s="83" t="b">
        <v>0</v>
      </c>
    </row>
    <row r="106" spans="1:7" ht="15">
      <c r="A106" s="84" t="s">
        <v>1524</v>
      </c>
      <c r="B106" s="83">
        <v>7</v>
      </c>
      <c r="C106" s="110">
        <v>0.0028343090628050144</v>
      </c>
      <c r="D106" s="83" t="s">
        <v>2059</v>
      </c>
      <c r="E106" s="83" t="b">
        <v>0</v>
      </c>
      <c r="F106" s="83" t="b">
        <v>0</v>
      </c>
      <c r="G106" s="83" t="b">
        <v>0</v>
      </c>
    </row>
    <row r="107" spans="1:7" ht="15">
      <c r="A107" s="84" t="s">
        <v>1525</v>
      </c>
      <c r="B107" s="83">
        <v>7</v>
      </c>
      <c r="C107" s="110">
        <v>0.003089459037798196</v>
      </c>
      <c r="D107" s="83" t="s">
        <v>2059</v>
      </c>
      <c r="E107" s="83" t="b">
        <v>0</v>
      </c>
      <c r="F107" s="83" t="b">
        <v>0</v>
      </c>
      <c r="G107" s="83" t="b">
        <v>0</v>
      </c>
    </row>
    <row r="108" spans="1:7" ht="15">
      <c r="A108" s="84" t="s">
        <v>1526</v>
      </c>
      <c r="B108" s="83">
        <v>7</v>
      </c>
      <c r="C108" s="110">
        <v>0.003089459037798196</v>
      </c>
      <c r="D108" s="83" t="s">
        <v>2059</v>
      </c>
      <c r="E108" s="83" t="b">
        <v>0</v>
      </c>
      <c r="F108" s="83" t="b">
        <v>0</v>
      </c>
      <c r="G108" s="83" t="b">
        <v>0</v>
      </c>
    </row>
    <row r="109" spans="1:7" ht="15">
      <c r="A109" s="84" t="s">
        <v>1527</v>
      </c>
      <c r="B109" s="83">
        <v>7</v>
      </c>
      <c r="C109" s="110">
        <v>0.0032586708340207942</v>
      </c>
      <c r="D109" s="83" t="s">
        <v>2059</v>
      </c>
      <c r="E109" s="83" t="b">
        <v>0</v>
      </c>
      <c r="F109" s="83" t="b">
        <v>0</v>
      </c>
      <c r="G109" s="83" t="b">
        <v>0</v>
      </c>
    </row>
    <row r="110" spans="1:7" ht="15">
      <c r="A110" s="84" t="s">
        <v>1528</v>
      </c>
      <c r="B110" s="83">
        <v>6</v>
      </c>
      <c r="C110" s="110">
        <v>0.002529602514385403</v>
      </c>
      <c r="D110" s="83" t="s">
        <v>2059</v>
      </c>
      <c r="E110" s="83" t="b">
        <v>0</v>
      </c>
      <c r="F110" s="83" t="b">
        <v>0</v>
      </c>
      <c r="G110" s="83" t="b">
        <v>0</v>
      </c>
    </row>
    <row r="111" spans="1:7" ht="15">
      <c r="A111" s="84" t="s">
        <v>1529</v>
      </c>
      <c r="B111" s="83">
        <v>6</v>
      </c>
      <c r="C111" s="110">
        <v>0.002529602514385403</v>
      </c>
      <c r="D111" s="83" t="s">
        <v>2059</v>
      </c>
      <c r="E111" s="83" t="b">
        <v>1</v>
      </c>
      <c r="F111" s="83" t="b">
        <v>0</v>
      </c>
      <c r="G111" s="83" t="b">
        <v>0</v>
      </c>
    </row>
    <row r="112" spans="1:7" ht="15">
      <c r="A112" s="84" t="s">
        <v>1530</v>
      </c>
      <c r="B112" s="83">
        <v>6</v>
      </c>
      <c r="C112" s="110">
        <v>0.002529602514385403</v>
      </c>
      <c r="D112" s="83" t="s">
        <v>2059</v>
      </c>
      <c r="E112" s="83" t="b">
        <v>1</v>
      </c>
      <c r="F112" s="83" t="b">
        <v>0</v>
      </c>
      <c r="G112" s="83" t="b">
        <v>0</v>
      </c>
    </row>
    <row r="113" spans="1:7" ht="15">
      <c r="A113" s="84" t="s">
        <v>1531</v>
      </c>
      <c r="B113" s="83">
        <v>6</v>
      </c>
      <c r="C113" s="110">
        <v>0.0026481077466841683</v>
      </c>
      <c r="D113" s="83" t="s">
        <v>2059</v>
      </c>
      <c r="E113" s="83" t="b">
        <v>0</v>
      </c>
      <c r="F113" s="83" t="b">
        <v>1</v>
      </c>
      <c r="G113" s="83" t="b">
        <v>0</v>
      </c>
    </row>
    <row r="114" spans="1:7" ht="15">
      <c r="A114" s="84" t="s">
        <v>1532</v>
      </c>
      <c r="B114" s="83">
        <v>6</v>
      </c>
      <c r="C114" s="110">
        <v>0.002529602514385403</v>
      </c>
      <c r="D114" s="83" t="s">
        <v>2059</v>
      </c>
      <c r="E114" s="83" t="b">
        <v>0</v>
      </c>
      <c r="F114" s="83" t="b">
        <v>0</v>
      </c>
      <c r="G114" s="83" t="b">
        <v>0</v>
      </c>
    </row>
    <row r="115" spans="1:7" ht="15">
      <c r="A115" s="84" t="s">
        <v>1533</v>
      </c>
      <c r="B115" s="83">
        <v>6</v>
      </c>
      <c r="C115" s="110">
        <v>0.002529602514385403</v>
      </c>
      <c r="D115" s="83" t="s">
        <v>2059</v>
      </c>
      <c r="E115" s="83" t="b">
        <v>0</v>
      </c>
      <c r="F115" s="83" t="b">
        <v>1</v>
      </c>
      <c r="G115" s="83" t="b">
        <v>0</v>
      </c>
    </row>
    <row r="116" spans="1:7" ht="15">
      <c r="A116" s="84" t="s">
        <v>1534</v>
      </c>
      <c r="B116" s="83">
        <v>6</v>
      </c>
      <c r="C116" s="110">
        <v>0.0026481077466841683</v>
      </c>
      <c r="D116" s="83" t="s">
        <v>2059</v>
      </c>
      <c r="E116" s="83" t="b">
        <v>0</v>
      </c>
      <c r="F116" s="83" t="b">
        <v>0</v>
      </c>
      <c r="G116" s="83" t="b">
        <v>0</v>
      </c>
    </row>
    <row r="117" spans="1:7" ht="15">
      <c r="A117" s="84" t="s">
        <v>1535</v>
      </c>
      <c r="B117" s="83">
        <v>6</v>
      </c>
      <c r="C117" s="110">
        <v>0.0026481077466841683</v>
      </c>
      <c r="D117" s="83" t="s">
        <v>2059</v>
      </c>
      <c r="E117" s="83" t="b">
        <v>0</v>
      </c>
      <c r="F117" s="83" t="b">
        <v>0</v>
      </c>
      <c r="G117" s="83" t="b">
        <v>0</v>
      </c>
    </row>
    <row r="118" spans="1:7" ht="15">
      <c r="A118" s="84" t="s">
        <v>1536</v>
      </c>
      <c r="B118" s="83">
        <v>6</v>
      </c>
      <c r="C118" s="110">
        <v>0.002529602514385403</v>
      </c>
      <c r="D118" s="83" t="s">
        <v>2059</v>
      </c>
      <c r="E118" s="83" t="b">
        <v>0</v>
      </c>
      <c r="F118" s="83" t="b">
        <v>0</v>
      </c>
      <c r="G118" s="83" t="b">
        <v>0</v>
      </c>
    </row>
    <row r="119" spans="1:7" ht="15">
      <c r="A119" s="84" t="s">
        <v>1537</v>
      </c>
      <c r="B119" s="83">
        <v>6</v>
      </c>
      <c r="C119" s="110">
        <v>0.0026481077466841683</v>
      </c>
      <c r="D119" s="83" t="s">
        <v>2059</v>
      </c>
      <c r="E119" s="83" t="b">
        <v>0</v>
      </c>
      <c r="F119" s="83" t="b">
        <v>0</v>
      </c>
      <c r="G119" s="83" t="b">
        <v>0</v>
      </c>
    </row>
    <row r="120" spans="1:7" ht="15">
      <c r="A120" s="84" t="s">
        <v>1538</v>
      </c>
      <c r="B120" s="83">
        <v>6</v>
      </c>
      <c r="C120" s="110">
        <v>0.0029801338124607053</v>
      </c>
      <c r="D120" s="83" t="s">
        <v>2059</v>
      </c>
      <c r="E120" s="83" t="b">
        <v>0</v>
      </c>
      <c r="F120" s="83" t="b">
        <v>0</v>
      </c>
      <c r="G120" s="83" t="b">
        <v>0</v>
      </c>
    </row>
    <row r="121" spans="1:7" ht="15">
      <c r="A121" s="84" t="s">
        <v>1539</v>
      </c>
      <c r="B121" s="83">
        <v>6</v>
      </c>
      <c r="C121" s="110">
        <v>0.0027931464291606808</v>
      </c>
      <c r="D121" s="83" t="s">
        <v>2059</v>
      </c>
      <c r="E121" s="83" t="b">
        <v>0</v>
      </c>
      <c r="F121" s="83" t="b">
        <v>0</v>
      </c>
      <c r="G121" s="83" t="b">
        <v>0</v>
      </c>
    </row>
    <row r="122" spans="1:7" ht="15">
      <c r="A122" s="84" t="s">
        <v>1540</v>
      </c>
      <c r="B122" s="83">
        <v>6</v>
      </c>
      <c r="C122" s="110">
        <v>0.002529602514385403</v>
      </c>
      <c r="D122" s="83" t="s">
        <v>2059</v>
      </c>
      <c r="E122" s="83" t="b">
        <v>0</v>
      </c>
      <c r="F122" s="83" t="b">
        <v>0</v>
      </c>
      <c r="G122" s="83" t="b">
        <v>0</v>
      </c>
    </row>
    <row r="123" spans="1:7" ht="15">
      <c r="A123" s="84" t="s">
        <v>1541</v>
      </c>
      <c r="B123" s="83">
        <v>6</v>
      </c>
      <c r="C123" s="110">
        <v>0.002529602514385403</v>
      </c>
      <c r="D123" s="83" t="s">
        <v>2059</v>
      </c>
      <c r="E123" s="83" t="b">
        <v>0</v>
      </c>
      <c r="F123" s="83" t="b">
        <v>0</v>
      </c>
      <c r="G123" s="83" t="b">
        <v>0</v>
      </c>
    </row>
    <row r="124" spans="1:7" ht="15">
      <c r="A124" s="84" t="s">
        <v>1542</v>
      </c>
      <c r="B124" s="83">
        <v>6</v>
      </c>
      <c r="C124" s="110">
        <v>0.002529602514385403</v>
      </c>
      <c r="D124" s="83" t="s">
        <v>2059</v>
      </c>
      <c r="E124" s="83" t="b">
        <v>1</v>
      </c>
      <c r="F124" s="83" t="b">
        <v>0</v>
      </c>
      <c r="G124" s="83" t="b">
        <v>0</v>
      </c>
    </row>
    <row r="125" spans="1:7" ht="15">
      <c r="A125" s="84" t="s">
        <v>1543</v>
      </c>
      <c r="B125" s="83">
        <v>6</v>
      </c>
      <c r="C125" s="110">
        <v>0.002529602514385403</v>
      </c>
      <c r="D125" s="83" t="s">
        <v>2059</v>
      </c>
      <c r="E125" s="83" t="b">
        <v>0</v>
      </c>
      <c r="F125" s="83" t="b">
        <v>0</v>
      </c>
      <c r="G125" s="83" t="b">
        <v>0</v>
      </c>
    </row>
    <row r="126" spans="1:7" ht="15">
      <c r="A126" s="84" t="s">
        <v>1544</v>
      </c>
      <c r="B126" s="83">
        <v>6</v>
      </c>
      <c r="C126" s="110">
        <v>0.0029801338124607053</v>
      </c>
      <c r="D126" s="83" t="s">
        <v>2059</v>
      </c>
      <c r="E126" s="83" t="b">
        <v>0</v>
      </c>
      <c r="F126" s="83" t="b">
        <v>0</v>
      </c>
      <c r="G126" s="83" t="b">
        <v>0</v>
      </c>
    </row>
    <row r="127" spans="1:7" ht="15">
      <c r="A127" s="84" t="s">
        <v>1545</v>
      </c>
      <c r="B127" s="83">
        <v>6</v>
      </c>
      <c r="C127" s="110">
        <v>0.0027931464291606808</v>
      </c>
      <c r="D127" s="83" t="s">
        <v>2059</v>
      </c>
      <c r="E127" s="83" t="b">
        <v>0</v>
      </c>
      <c r="F127" s="83" t="b">
        <v>0</v>
      </c>
      <c r="G127" s="83" t="b">
        <v>0</v>
      </c>
    </row>
    <row r="128" spans="1:7" ht="15">
      <c r="A128" s="84" t="s">
        <v>1546</v>
      </c>
      <c r="B128" s="83">
        <v>6</v>
      </c>
      <c r="C128" s="110">
        <v>0.0032436777272359827</v>
      </c>
      <c r="D128" s="83" t="s">
        <v>2059</v>
      </c>
      <c r="E128" s="83" t="b">
        <v>0</v>
      </c>
      <c r="F128" s="83" t="b">
        <v>0</v>
      </c>
      <c r="G128" s="83" t="b">
        <v>0</v>
      </c>
    </row>
    <row r="129" spans="1:7" ht="15">
      <c r="A129" s="84" t="s">
        <v>1547</v>
      </c>
      <c r="B129" s="83">
        <v>6</v>
      </c>
      <c r="C129" s="110">
        <v>0.002529602514385403</v>
      </c>
      <c r="D129" s="83" t="s">
        <v>2059</v>
      </c>
      <c r="E129" s="83" t="b">
        <v>0</v>
      </c>
      <c r="F129" s="83" t="b">
        <v>0</v>
      </c>
      <c r="G129" s="83" t="b">
        <v>0</v>
      </c>
    </row>
    <row r="130" spans="1:7" ht="15">
      <c r="A130" s="84" t="s">
        <v>1548</v>
      </c>
      <c r="B130" s="83">
        <v>6</v>
      </c>
      <c r="C130" s="110">
        <v>0.0032436777272359827</v>
      </c>
      <c r="D130" s="83" t="s">
        <v>2059</v>
      </c>
      <c r="E130" s="83" t="b">
        <v>0</v>
      </c>
      <c r="F130" s="83" t="b">
        <v>0</v>
      </c>
      <c r="G130" s="83" t="b">
        <v>0</v>
      </c>
    </row>
    <row r="131" spans="1:7" ht="15">
      <c r="A131" s="84" t="s">
        <v>1549</v>
      </c>
      <c r="B131" s="83">
        <v>6</v>
      </c>
      <c r="C131" s="110">
        <v>0.002529602514385403</v>
      </c>
      <c r="D131" s="83" t="s">
        <v>2059</v>
      </c>
      <c r="E131" s="83" t="b">
        <v>0</v>
      </c>
      <c r="F131" s="83" t="b">
        <v>0</v>
      </c>
      <c r="G131" s="83" t="b">
        <v>0</v>
      </c>
    </row>
    <row r="132" spans="1:7" ht="15">
      <c r="A132" s="84" t="s">
        <v>1550</v>
      </c>
      <c r="B132" s="83">
        <v>6</v>
      </c>
      <c r="C132" s="110">
        <v>0.0027931464291606808</v>
      </c>
      <c r="D132" s="83" t="s">
        <v>2059</v>
      </c>
      <c r="E132" s="83" t="b">
        <v>0</v>
      </c>
      <c r="F132" s="83" t="b">
        <v>0</v>
      </c>
      <c r="G132" s="83" t="b">
        <v>0</v>
      </c>
    </row>
    <row r="133" spans="1:7" ht="15">
      <c r="A133" s="84" t="s">
        <v>1551</v>
      </c>
      <c r="B133" s="83">
        <v>5</v>
      </c>
      <c r="C133" s="110">
        <v>0.0023276220243005677</v>
      </c>
      <c r="D133" s="83" t="s">
        <v>2059</v>
      </c>
      <c r="E133" s="83" t="b">
        <v>0</v>
      </c>
      <c r="F133" s="83" t="b">
        <v>0</v>
      </c>
      <c r="G133" s="83" t="b">
        <v>0</v>
      </c>
    </row>
    <row r="134" spans="1:7" ht="15">
      <c r="A134" s="84" t="s">
        <v>1552</v>
      </c>
      <c r="B134" s="83">
        <v>5</v>
      </c>
      <c r="C134" s="110">
        <v>0.0022067564555701405</v>
      </c>
      <c r="D134" s="83" t="s">
        <v>2059</v>
      </c>
      <c r="E134" s="83" t="b">
        <v>0</v>
      </c>
      <c r="F134" s="83" t="b">
        <v>0</v>
      </c>
      <c r="G134" s="83" t="b">
        <v>0</v>
      </c>
    </row>
    <row r="135" spans="1:7" ht="15">
      <c r="A135" s="84" t="s">
        <v>1553</v>
      </c>
      <c r="B135" s="83">
        <v>5</v>
      </c>
      <c r="C135" s="110">
        <v>0.0023276220243005677</v>
      </c>
      <c r="D135" s="83" t="s">
        <v>2059</v>
      </c>
      <c r="E135" s="83" t="b">
        <v>0</v>
      </c>
      <c r="F135" s="83" t="b">
        <v>0</v>
      </c>
      <c r="G135" s="83" t="b">
        <v>0</v>
      </c>
    </row>
    <row r="136" spans="1:7" ht="15">
      <c r="A136" s="84" t="s">
        <v>1554</v>
      </c>
      <c r="B136" s="83">
        <v>5</v>
      </c>
      <c r="C136" s="110">
        <v>0.0023276220243005677</v>
      </c>
      <c r="D136" s="83" t="s">
        <v>2059</v>
      </c>
      <c r="E136" s="83" t="b">
        <v>0</v>
      </c>
      <c r="F136" s="83" t="b">
        <v>0</v>
      </c>
      <c r="G136" s="83" t="b">
        <v>0</v>
      </c>
    </row>
    <row r="137" spans="1:7" ht="15">
      <c r="A137" s="84" t="s">
        <v>1555</v>
      </c>
      <c r="B137" s="83">
        <v>5</v>
      </c>
      <c r="C137" s="110">
        <v>0.002483444843717255</v>
      </c>
      <c r="D137" s="83" t="s">
        <v>2059</v>
      </c>
      <c r="E137" s="83" t="b">
        <v>0</v>
      </c>
      <c r="F137" s="83" t="b">
        <v>0</v>
      </c>
      <c r="G137" s="83" t="b">
        <v>0</v>
      </c>
    </row>
    <row r="138" spans="1:7" ht="15">
      <c r="A138" s="84" t="s">
        <v>1556</v>
      </c>
      <c r="B138" s="83">
        <v>5</v>
      </c>
      <c r="C138" s="110">
        <v>0.002483444843717255</v>
      </c>
      <c r="D138" s="83" t="s">
        <v>2059</v>
      </c>
      <c r="E138" s="83" t="b">
        <v>0</v>
      </c>
      <c r="F138" s="83" t="b">
        <v>0</v>
      </c>
      <c r="G138" s="83" t="b">
        <v>0</v>
      </c>
    </row>
    <row r="139" spans="1:7" ht="15">
      <c r="A139" s="84" t="s">
        <v>1557</v>
      </c>
      <c r="B139" s="83">
        <v>5</v>
      </c>
      <c r="C139" s="110">
        <v>0.002483444843717255</v>
      </c>
      <c r="D139" s="83" t="s">
        <v>2059</v>
      </c>
      <c r="E139" s="83" t="b">
        <v>0</v>
      </c>
      <c r="F139" s="83" t="b">
        <v>0</v>
      </c>
      <c r="G139" s="83" t="b">
        <v>0</v>
      </c>
    </row>
    <row r="140" spans="1:7" ht="15">
      <c r="A140" s="84" t="s">
        <v>1558</v>
      </c>
      <c r="B140" s="83">
        <v>5</v>
      </c>
      <c r="C140" s="110">
        <v>0.002483444843717255</v>
      </c>
      <c r="D140" s="83" t="s">
        <v>2059</v>
      </c>
      <c r="E140" s="83" t="b">
        <v>0</v>
      </c>
      <c r="F140" s="83" t="b">
        <v>0</v>
      </c>
      <c r="G140" s="83" t="b">
        <v>0</v>
      </c>
    </row>
    <row r="141" spans="1:7" ht="15">
      <c r="A141" s="84" t="s">
        <v>1559</v>
      </c>
      <c r="B141" s="83">
        <v>5</v>
      </c>
      <c r="C141" s="110">
        <v>0.0023276220243005677</v>
      </c>
      <c r="D141" s="83" t="s">
        <v>2059</v>
      </c>
      <c r="E141" s="83" t="b">
        <v>0</v>
      </c>
      <c r="F141" s="83" t="b">
        <v>0</v>
      </c>
      <c r="G141" s="83" t="b">
        <v>0</v>
      </c>
    </row>
    <row r="142" spans="1:7" ht="15">
      <c r="A142" s="84" t="s">
        <v>1560</v>
      </c>
      <c r="B142" s="83">
        <v>5</v>
      </c>
      <c r="C142" s="110">
        <v>0.0023276220243005677</v>
      </c>
      <c r="D142" s="83" t="s">
        <v>2059</v>
      </c>
      <c r="E142" s="83" t="b">
        <v>1</v>
      </c>
      <c r="F142" s="83" t="b">
        <v>0</v>
      </c>
      <c r="G142" s="83" t="b">
        <v>0</v>
      </c>
    </row>
    <row r="143" spans="1:7" ht="15">
      <c r="A143" s="84" t="s">
        <v>1561</v>
      </c>
      <c r="B143" s="83">
        <v>5</v>
      </c>
      <c r="C143" s="110">
        <v>0.0022067564555701405</v>
      </c>
      <c r="D143" s="83" t="s">
        <v>2059</v>
      </c>
      <c r="E143" s="83" t="b">
        <v>0</v>
      </c>
      <c r="F143" s="83" t="b">
        <v>0</v>
      </c>
      <c r="G143" s="83" t="b">
        <v>0</v>
      </c>
    </row>
    <row r="144" spans="1:7" ht="15">
      <c r="A144" s="84" t="s">
        <v>1562</v>
      </c>
      <c r="B144" s="83">
        <v>5</v>
      </c>
      <c r="C144" s="110">
        <v>0.0027030647726966526</v>
      </c>
      <c r="D144" s="83" t="s">
        <v>2059</v>
      </c>
      <c r="E144" s="83" t="b">
        <v>0</v>
      </c>
      <c r="F144" s="83" t="b">
        <v>0</v>
      </c>
      <c r="G144" s="83" t="b">
        <v>0</v>
      </c>
    </row>
    <row r="145" spans="1:7" ht="15">
      <c r="A145" s="84" t="s">
        <v>1563</v>
      </c>
      <c r="B145" s="83">
        <v>5</v>
      </c>
      <c r="C145" s="110">
        <v>0.0023276220243005677</v>
      </c>
      <c r="D145" s="83" t="s">
        <v>2059</v>
      </c>
      <c r="E145" s="83" t="b">
        <v>0</v>
      </c>
      <c r="F145" s="83" t="b">
        <v>0</v>
      </c>
      <c r="G145" s="83" t="b">
        <v>0</v>
      </c>
    </row>
    <row r="146" spans="1:7" ht="15">
      <c r="A146" s="84" t="s">
        <v>1564</v>
      </c>
      <c r="B146" s="83">
        <v>5</v>
      </c>
      <c r="C146" s="110">
        <v>0.0023276220243005677</v>
      </c>
      <c r="D146" s="83" t="s">
        <v>2059</v>
      </c>
      <c r="E146" s="83" t="b">
        <v>0</v>
      </c>
      <c r="F146" s="83" t="b">
        <v>0</v>
      </c>
      <c r="G146" s="83" t="b">
        <v>0</v>
      </c>
    </row>
    <row r="147" spans="1:7" ht="15">
      <c r="A147" s="84" t="s">
        <v>1565</v>
      </c>
      <c r="B147" s="83">
        <v>5</v>
      </c>
      <c r="C147" s="110">
        <v>0.0022067564555701405</v>
      </c>
      <c r="D147" s="83" t="s">
        <v>2059</v>
      </c>
      <c r="E147" s="83" t="b">
        <v>0</v>
      </c>
      <c r="F147" s="83" t="b">
        <v>0</v>
      </c>
      <c r="G147" s="83" t="b">
        <v>0</v>
      </c>
    </row>
    <row r="148" spans="1:7" ht="15">
      <c r="A148" s="84" t="s">
        <v>1566</v>
      </c>
      <c r="B148" s="83">
        <v>5</v>
      </c>
      <c r="C148" s="110">
        <v>0.0027030647726966526</v>
      </c>
      <c r="D148" s="83" t="s">
        <v>2059</v>
      </c>
      <c r="E148" s="83" t="b">
        <v>0</v>
      </c>
      <c r="F148" s="83" t="b">
        <v>0</v>
      </c>
      <c r="G148" s="83" t="b">
        <v>0</v>
      </c>
    </row>
    <row r="149" spans="1:7" ht="15">
      <c r="A149" s="84" t="s">
        <v>1567</v>
      </c>
      <c r="B149" s="83">
        <v>5</v>
      </c>
      <c r="C149" s="110">
        <v>0.0023276220243005677</v>
      </c>
      <c r="D149" s="83" t="s">
        <v>2059</v>
      </c>
      <c r="E149" s="83" t="b">
        <v>0</v>
      </c>
      <c r="F149" s="83" t="b">
        <v>0</v>
      </c>
      <c r="G149" s="83" t="b">
        <v>0</v>
      </c>
    </row>
    <row r="150" spans="1:7" ht="15">
      <c r="A150" s="84" t="s">
        <v>1568</v>
      </c>
      <c r="B150" s="83">
        <v>5</v>
      </c>
      <c r="C150" s="110">
        <v>0.0022067564555701405</v>
      </c>
      <c r="D150" s="83" t="s">
        <v>2059</v>
      </c>
      <c r="E150" s="83" t="b">
        <v>0</v>
      </c>
      <c r="F150" s="83" t="b">
        <v>0</v>
      </c>
      <c r="G150" s="83" t="b">
        <v>0</v>
      </c>
    </row>
    <row r="151" spans="1:7" ht="15">
      <c r="A151" s="84" t="s">
        <v>1569</v>
      </c>
      <c r="B151" s="83">
        <v>5</v>
      </c>
      <c r="C151" s="110">
        <v>0.0023276220243005677</v>
      </c>
      <c r="D151" s="83" t="s">
        <v>2059</v>
      </c>
      <c r="E151" s="83" t="b">
        <v>0</v>
      </c>
      <c r="F151" s="83" t="b">
        <v>0</v>
      </c>
      <c r="G151" s="83" t="b">
        <v>0</v>
      </c>
    </row>
    <row r="152" spans="1:7" ht="15">
      <c r="A152" s="84" t="s">
        <v>1570</v>
      </c>
      <c r="B152" s="83">
        <v>5</v>
      </c>
      <c r="C152" s="110">
        <v>0.0022067564555701405</v>
      </c>
      <c r="D152" s="83" t="s">
        <v>2059</v>
      </c>
      <c r="E152" s="83" t="b">
        <v>0</v>
      </c>
      <c r="F152" s="83" t="b">
        <v>0</v>
      </c>
      <c r="G152" s="83" t="b">
        <v>0</v>
      </c>
    </row>
    <row r="153" spans="1:7" ht="15">
      <c r="A153" s="84" t="s">
        <v>1571</v>
      </c>
      <c r="B153" s="83">
        <v>5</v>
      </c>
      <c r="C153" s="110">
        <v>0.002483444843717255</v>
      </c>
      <c r="D153" s="83" t="s">
        <v>2059</v>
      </c>
      <c r="E153" s="83" t="b">
        <v>0</v>
      </c>
      <c r="F153" s="83" t="b">
        <v>0</v>
      </c>
      <c r="G153" s="83" t="b">
        <v>0</v>
      </c>
    </row>
    <row r="154" spans="1:7" ht="15">
      <c r="A154" s="84" t="s">
        <v>1572</v>
      </c>
      <c r="B154" s="83">
        <v>5</v>
      </c>
      <c r="C154" s="110">
        <v>0.0023276220243005677</v>
      </c>
      <c r="D154" s="83" t="s">
        <v>2059</v>
      </c>
      <c r="E154" s="83" t="b">
        <v>0</v>
      </c>
      <c r="F154" s="83" t="b">
        <v>0</v>
      </c>
      <c r="G154" s="83" t="b">
        <v>0</v>
      </c>
    </row>
    <row r="155" spans="1:7" ht="15">
      <c r="A155" s="84" t="s">
        <v>1573</v>
      </c>
      <c r="B155" s="83">
        <v>5</v>
      </c>
      <c r="C155" s="110">
        <v>0.002483444843717255</v>
      </c>
      <c r="D155" s="83" t="s">
        <v>2059</v>
      </c>
      <c r="E155" s="83" t="b">
        <v>0</v>
      </c>
      <c r="F155" s="83" t="b">
        <v>0</v>
      </c>
      <c r="G155" s="83" t="b">
        <v>0</v>
      </c>
    </row>
    <row r="156" spans="1:7" ht="15">
      <c r="A156" s="84" t="s">
        <v>1574</v>
      </c>
      <c r="B156" s="83">
        <v>5</v>
      </c>
      <c r="C156" s="110">
        <v>0.002483444843717255</v>
      </c>
      <c r="D156" s="83" t="s">
        <v>2059</v>
      </c>
      <c r="E156" s="83" t="b">
        <v>0</v>
      </c>
      <c r="F156" s="83" t="b">
        <v>0</v>
      </c>
      <c r="G156" s="83" t="b">
        <v>0</v>
      </c>
    </row>
    <row r="157" spans="1:7" ht="15">
      <c r="A157" s="84" t="s">
        <v>1575</v>
      </c>
      <c r="B157" s="83">
        <v>5</v>
      </c>
      <c r="C157" s="110">
        <v>0.0022067564555701405</v>
      </c>
      <c r="D157" s="83" t="s">
        <v>2059</v>
      </c>
      <c r="E157" s="83" t="b">
        <v>0</v>
      </c>
      <c r="F157" s="83" t="b">
        <v>0</v>
      </c>
      <c r="G157" s="83" t="b">
        <v>0</v>
      </c>
    </row>
    <row r="158" spans="1:7" ht="15">
      <c r="A158" s="84" t="s">
        <v>1576</v>
      </c>
      <c r="B158" s="83">
        <v>5</v>
      </c>
      <c r="C158" s="110">
        <v>0.0022067564555701405</v>
      </c>
      <c r="D158" s="83" t="s">
        <v>2059</v>
      </c>
      <c r="E158" s="83" t="b">
        <v>0</v>
      </c>
      <c r="F158" s="83" t="b">
        <v>0</v>
      </c>
      <c r="G158" s="83" t="b">
        <v>0</v>
      </c>
    </row>
    <row r="159" spans="1:7" ht="15">
      <c r="A159" s="84" t="s">
        <v>1577</v>
      </c>
      <c r="B159" s="83">
        <v>5</v>
      </c>
      <c r="C159" s="110">
        <v>0.0027030647726966526</v>
      </c>
      <c r="D159" s="83" t="s">
        <v>2059</v>
      </c>
      <c r="E159" s="83" t="b">
        <v>0</v>
      </c>
      <c r="F159" s="83" t="b">
        <v>0</v>
      </c>
      <c r="G159" s="83" t="b">
        <v>0</v>
      </c>
    </row>
    <row r="160" spans="1:7" ht="15">
      <c r="A160" s="84" t="s">
        <v>1578</v>
      </c>
      <c r="B160" s="83">
        <v>5</v>
      </c>
      <c r="C160" s="110">
        <v>0.002483444843717255</v>
      </c>
      <c r="D160" s="83" t="s">
        <v>2059</v>
      </c>
      <c r="E160" s="83" t="b">
        <v>0</v>
      </c>
      <c r="F160" s="83" t="b">
        <v>0</v>
      </c>
      <c r="G160" s="83" t="b">
        <v>0</v>
      </c>
    </row>
    <row r="161" spans="1:7" ht="15">
      <c r="A161" s="84" t="s">
        <v>1579</v>
      </c>
      <c r="B161" s="83">
        <v>5</v>
      </c>
      <c r="C161" s="110">
        <v>0.0022067564555701405</v>
      </c>
      <c r="D161" s="83" t="s">
        <v>2059</v>
      </c>
      <c r="E161" s="83" t="b">
        <v>0</v>
      </c>
      <c r="F161" s="83" t="b">
        <v>0</v>
      </c>
      <c r="G161" s="83" t="b">
        <v>0</v>
      </c>
    </row>
    <row r="162" spans="1:7" ht="15">
      <c r="A162" s="84" t="s">
        <v>1580</v>
      </c>
      <c r="B162" s="83">
        <v>5</v>
      </c>
      <c r="C162" s="110">
        <v>0.002483444843717255</v>
      </c>
      <c r="D162" s="83" t="s">
        <v>2059</v>
      </c>
      <c r="E162" s="83" t="b">
        <v>0</v>
      </c>
      <c r="F162" s="83" t="b">
        <v>0</v>
      </c>
      <c r="G162" s="83" t="b">
        <v>0</v>
      </c>
    </row>
    <row r="163" spans="1:7" ht="15">
      <c r="A163" s="84" t="s">
        <v>1581</v>
      </c>
      <c r="B163" s="83">
        <v>5</v>
      </c>
      <c r="C163" s="110">
        <v>0.0027030647726966526</v>
      </c>
      <c r="D163" s="83" t="s">
        <v>2059</v>
      </c>
      <c r="E163" s="83" t="b">
        <v>0</v>
      </c>
      <c r="F163" s="83" t="b">
        <v>0</v>
      </c>
      <c r="G163" s="83" t="b">
        <v>0</v>
      </c>
    </row>
    <row r="164" spans="1:7" ht="15">
      <c r="A164" s="84" t="s">
        <v>1582</v>
      </c>
      <c r="B164" s="83">
        <v>5</v>
      </c>
      <c r="C164" s="110">
        <v>0.0027030647726966526</v>
      </c>
      <c r="D164" s="83" t="s">
        <v>2059</v>
      </c>
      <c r="E164" s="83" t="b">
        <v>0</v>
      </c>
      <c r="F164" s="83" t="b">
        <v>0</v>
      </c>
      <c r="G164" s="83" t="b">
        <v>0</v>
      </c>
    </row>
    <row r="165" spans="1:7" ht="15">
      <c r="A165" s="84" t="s">
        <v>1583</v>
      </c>
      <c r="B165" s="83">
        <v>5</v>
      </c>
      <c r="C165" s="110">
        <v>0.0022067564555701405</v>
      </c>
      <c r="D165" s="83" t="s">
        <v>2059</v>
      </c>
      <c r="E165" s="83" t="b">
        <v>0</v>
      </c>
      <c r="F165" s="83" t="b">
        <v>0</v>
      </c>
      <c r="G165" s="83" t="b">
        <v>0</v>
      </c>
    </row>
    <row r="166" spans="1:7" ht="15">
      <c r="A166" s="84" t="s">
        <v>1584</v>
      </c>
      <c r="B166" s="83">
        <v>5</v>
      </c>
      <c r="C166" s="110">
        <v>0.0022067564555701405</v>
      </c>
      <c r="D166" s="83" t="s">
        <v>2059</v>
      </c>
      <c r="E166" s="83" t="b">
        <v>0</v>
      </c>
      <c r="F166" s="83" t="b">
        <v>0</v>
      </c>
      <c r="G166" s="83" t="b">
        <v>0</v>
      </c>
    </row>
    <row r="167" spans="1:7" ht="15">
      <c r="A167" s="84" t="s">
        <v>1585</v>
      </c>
      <c r="B167" s="83">
        <v>5</v>
      </c>
      <c r="C167" s="110">
        <v>0.0027030647726966526</v>
      </c>
      <c r="D167" s="83" t="s">
        <v>2059</v>
      </c>
      <c r="E167" s="83" t="b">
        <v>0</v>
      </c>
      <c r="F167" s="83" t="b">
        <v>0</v>
      </c>
      <c r="G167" s="83" t="b">
        <v>0</v>
      </c>
    </row>
    <row r="168" spans="1:7" ht="15">
      <c r="A168" s="84" t="s">
        <v>1586</v>
      </c>
      <c r="B168" s="83">
        <v>5</v>
      </c>
      <c r="C168" s="110">
        <v>0.0023276220243005677</v>
      </c>
      <c r="D168" s="83" t="s">
        <v>2059</v>
      </c>
      <c r="E168" s="83" t="b">
        <v>0</v>
      </c>
      <c r="F168" s="83" t="b">
        <v>0</v>
      </c>
      <c r="G168" s="83" t="b">
        <v>0</v>
      </c>
    </row>
    <row r="169" spans="1:7" ht="15">
      <c r="A169" s="84" t="s">
        <v>1587</v>
      </c>
      <c r="B169" s="83">
        <v>4</v>
      </c>
      <c r="C169" s="110">
        <v>0.001986755874973804</v>
      </c>
      <c r="D169" s="83" t="s">
        <v>2059</v>
      </c>
      <c r="E169" s="83" t="b">
        <v>0</v>
      </c>
      <c r="F169" s="83" t="b">
        <v>0</v>
      </c>
      <c r="G169" s="83" t="b">
        <v>0</v>
      </c>
    </row>
    <row r="170" spans="1:7" ht="15">
      <c r="A170" s="84" t="s">
        <v>1588</v>
      </c>
      <c r="B170" s="83">
        <v>4</v>
      </c>
      <c r="C170" s="110">
        <v>0.001986755874973804</v>
      </c>
      <c r="D170" s="83" t="s">
        <v>2059</v>
      </c>
      <c r="E170" s="83" t="b">
        <v>0</v>
      </c>
      <c r="F170" s="83" t="b">
        <v>0</v>
      </c>
      <c r="G170" s="83" t="b">
        <v>0</v>
      </c>
    </row>
    <row r="171" spans="1:7" ht="15">
      <c r="A171" s="84" t="s">
        <v>1589</v>
      </c>
      <c r="B171" s="83">
        <v>4</v>
      </c>
      <c r="C171" s="110">
        <v>0.001862097619440454</v>
      </c>
      <c r="D171" s="83" t="s">
        <v>2059</v>
      </c>
      <c r="E171" s="83" t="b">
        <v>0</v>
      </c>
      <c r="F171" s="83" t="b">
        <v>0</v>
      </c>
      <c r="G171" s="83" t="b">
        <v>0</v>
      </c>
    </row>
    <row r="172" spans="1:7" ht="15">
      <c r="A172" s="84" t="s">
        <v>1590</v>
      </c>
      <c r="B172" s="83">
        <v>4</v>
      </c>
      <c r="C172" s="110">
        <v>0.001862097619440454</v>
      </c>
      <c r="D172" s="83" t="s">
        <v>2059</v>
      </c>
      <c r="E172" s="83" t="b">
        <v>0</v>
      </c>
      <c r="F172" s="83" t="b">
        <v>0</v>
      </c>
      <c r="G172" s="83" t="b">
        <v>0</v>
      </c>
    </row>
    <row r="173" spans="1:7" ht="15">
      <c r="A173" s="84" t="s">
        <v>1345</v>
      </c>
      <c r="B173" s="83">
        <v>4</v>
      </c>
      <c r="C173" s="110">
        <v>0.0021624518181573224</v>
      </c>
      <c r="D173" s="83" t="s">
        <v>2059</v>
      </c>
      <c r="E173" s="83" t="b">
        <v>0</v>
      </c>
      <c r="F173" s="83" t="b">
        <v>0</v>
      </c>
      <c r="G173" s="83" t="b">
        <v>0</v>
      </c>
    </row>
    <row r="174" spans="1:7" ht="15">
      <c r="A174" s="84" t="s">
        <v>1591</v>
      </c>
      <c r="B174" s="83">
        <v>4</v>
      </c>
      <c r="C174" s="110">
        <v>0.001986755874973804</v>
      </c>
      <c r="D174" s="83" t="s">
        <v>2059</v>
      </c>
      <c r="E174" s="83" t="b">
        <v>0</v>
      </c>
      <c r="F174" s="83" t="b">
        <v>0</v>
      </c>
      <c r="G174" s="83" t="b">
        <v>0</v>
      </c>
    </row>
    <row r="175" spans="1:7" ht="15">
      <c r="A175" s="84" t="s">
        <v>1592</v>
      </c>
      <c r="B175" s="83">
        <v>4</v>
      </c>
      <c r="C175" s="110">
        <v>0.0024628060168741905</v>
      </c>
      <c r="D175" s="83" t="s">
        <v>2059</v>
      </c>
      <c r="E175" s="83" t="b">
        <v>0</v>
      </c>
      <c r="F175" s="83" t="b">
        <v>0</v>
      </c>
      <c r="G175" s="83" t="b">
        <v>0</v>
      </c>
    </row>
    <row r="176" spans="1:7" ht="15">
      <c r="A176" s="84" t="s">
        <v>1593</v>
      </c>
      <c r="B176" s="83">
        <v>4</v>
      </c>
      <c r="C176" s="110">
        <v>0.0021624518181573224</v>
      </c>
      <c r="D176" s="83" t="s">
        <v>2059</v>
      </c>
      <c r="E176" s="83" t="b">
        <v>0</v>
      </c>
      <c r="F176" s="83" t="b">
        <v>0</v>
      </c>
      <c r="G176" s="83" t="b">
        <v>0</v>
      </c>
    </row>
    <row r="177" spans="1:7" ht="15">
      <c r="A177" s="84" t="s">
        <v>1594</v>
      </c>
      <c r="B177" s="83">
        <v>4</v>
      </c>
      <c r="C177" s="110">
        <v>0.001862097619440454</v>
      </c>
      <c r="D177" s="83" t="s">
        <v>2059</v>
      </c>
      <c r="E177" s="83" t="b">
        <v>1</v>
      </c>
      <c r="F177" s="83" t="b">
        <v>0</v>
      </c>
      <c r="G177" s="83" t="b">
        <v>0</v>
      </c>
    </row>
    <row r="178" spans="1:7" ht="15">
      <c r="A178" s="84" t="s">
        <v>1595</v>
      </c>
      <c r="B178" s="83">
        <v>4</v>
      </c>
      <c r="C178" s="110">
        <v>0.001862097619440454</v>
      </c>
      <c r="D178" s="83" t="s">
        <v>2059</v>
      </c>
      <c r="E178" s="83" t="b">
        <v>0</v>
      </c>
      <c r="F178" s="83" t="b">
        <v>0</v>
      </c>
      <c r="G178" s="83" t="b">
        <v>0</v>
      </c>
    </row>
    <row r="179" spans="1:7" ht="15">
      <c r="A179" s="84" t="s">
        <v>1596</v>
      </c>
      <c r="B179" s="83">
        <v>4</v>
      </c>
      <c r="C179" s="110">
        <v>0.0021624518181573224</v>
      </c>
      <c r="D179" s="83" t="s">
        <v>2059</v>
      </c>
      <c r="E179" s="83" t="b">
        <v>0</v>
      </c>
      <c r="F179" s="83" t="b">
        <v>0</v>
      </c>
      <c r="G179" s="83" t="b">
        <v>0</v>
      </c>
    </row>
    <row r="180" spans="1:7" ht="15">
      <c r="A180" s="84" t="s">
        <v>1597</v>
      </c>
      <c r="B180" s="83">
        <v>4</v>
      </c>
      <c r="C180" s="110">
        <v>0.001862097619440454</v>
      </c>
      <c r="D180" s="83" t="s">
        <v>2059</v>
      </c>
      <c r="E180" s="83" t="b">
        <v>0</v>
      </c>
      <c r="F180" s="83" t="b">
        <v>0</v>
      </c>
      <c r="G180" s="83" t="b">
        <v>0</v>
      </c>
    </row>
    <row r="181" spans="1:7" ht="15">
      <c r="A181" s="84" t="s">
        <v>1598</v>
      </c>
      <c r="B181" s="83">
        <v>4</v>
      </c>
      <c r="C181" s="110">
        <v>0.001862097619440454</v>
      </c>
      <c r="D181" s="83" t="s">
        <v>2059</v>
      </c>
      <c r="E181" s="83" t="b">
        <v>0</v>
      </c>
      <c r="F181" s="83" t="b">
        <v>0</v>
      </c>
      <c r="G181" s="83" t="b">
        <v>0</v>
      </c>
    </row>
    <row r="182" spans="1:7" ht="15">
      <c r="A182" s="84" t="s">
        <v>1599</v>
      </c>
      <c r="B182" s="83">
        <v>4</v>
      </c>
      <c r="C182" s="110">
        <v>0.001862097619440454</v>
      </c>
      <c r="D182" s="83" t="s">
        <v>2059</v>
      </c>
      <c r="E182" s="83" t="b">
        <v>0</v>
      </c>
      <c r="F182" s="83" t="b">
        <v>0</v>
      </c>
      <c r="G182" s="83" t="b">
        <v>0</v>
      </c>
    </row>
    <row r="183" spans="1:7" ht="15">
      <c r="A183" s="84" t="s">
        <v>1600</v>
      </c>
      <c r="B183" s="83">
        <v>4</v>
      </c>
      <c r="C183" s="110">
        <v>0.001986755874973804</v>
      </c>
      <c r="D183" s="83" t="s">
        <v>2059</v>
      </c>
      <c r="E183" s="83" t="b">
        <v>0</v>
      </c>
      <c r="F183" s="83" t="b">
        <v>0</v>
      </c>
      <c r="G183" s="83" t="b">
        <v>0</v>
      </c>
    </row>
    <row r="184" spans="1:7" ht="15">
      <c r="A184" s="84" t="s">
        <v>1601</v>
      </c>
      <c r="B184" s="83">
        <v>4</v>
      </c>
      <c r="C184" s="110">
        <v>0.001986755874973804</v>
      </c>
      <c r="D184" s="83" t="s">
        <v>2059</v>
      </c>
      <c r="E184" s="83" t="b">
        <v>0</v>
      </c>
      <c r="F184" s="83" t="b">
        <v>0</v>
      </c>
      <c r="G184" s="83" t="b">
        <v>0</v>
      </c>
    </row>
    <row r="185" spans="1:7" ht="15">
      <c r="A185" s="84" t="s">
        <v>1602</v>
      </c>
      <c r="B185" s="83">
        <v>4</v>
      </c>
      <c r="C185" s="110">
        <v>0.001862097619440454</v>
      </c>
      <c r="D185" s="83" t="s">
        <v>2059</v>
      </c>
      <c r="E185" s="83" t="b">
        <v>0</v>
      </c>
      <c r="F185" s="83" t="b">
        <v>0</v>
      </c>
      <c r="G185" s="83" t="b">
        <v>0</v>
      </c>
    </row>
    <row r="186" spans="1:7" ht="15">
      <c r="A186" s="84" t="s">
        <v>1603</v>
      </c>
      <c r="B186" s="83">
        <v>4</v>
      </c>
      <c r="C186" s="110">
        <v>0.001862097619440454</v>
      </c>
      <c r="D186" s="83" t="s">
        <v>2059</v>
      </c>
      <c r="E186" s="83" t="b">
        <v>0</v>
      </c>
      <c r="F186" s="83" t="b">
        <v>0</v>
      </c>
      <c r="G186" s="83" t="b">
        <v>0</v>
      </c>
    </row>
    <row r="187" spans="1:7" ht="15">
      <c r="A187" s="84" t="s">
        <v>1604</v>
      </c>
      <c r="B187" s="83">
        <v>4</v>
      </c>
      <c r="C187" s="110">
        <v>0.001862097619440454</v>
      </c>
      <c r="D187" s="83" t="s">
        <v>2059</v>
      </c>
      <c r="E187" s="83" t="b">
        <v>0</v>
      </c>
      <c r="F187" s="83" t="b">
        <v>0</v>
      </c>
      <c r="G187" s="83" t="b">
        <v>0</v>
      </c>
    </row>
    <row r="188" spans="1:7" ht="15">
      <c r="A188" s="84" t="s">
        <v>1605</v>
      </c>
      <c r="B188" s="83">
        <v>4</v>
      </c>
      <c r="C188" s="110">
        <v>0.001986755874973804</v>
      </c>
      <c r="D188" s="83" t="s">
        <v>2059</v>
      </c>
      <c r="E188" s="83" t="b">
        <v>0</v>
      </c>
      <c r="F188" s="83" t="b">
        <v>0</v>
      </c>
      <c r="G188" s="83" t="b">
        <v>0</v>
      </c>
    </row>
    <row r="189" spans="1:7" ht="15">
      <c r="A189" s="84" t="s">
        <v>1606</v>
      </c>
      <c r="B189" s="83">
        <v>4</v>
      </c>
      <c r="C189" s="110">
        <v>0.001862097619440454</v>
      </c>
      <c r="D189" s="83" t="s">
        <v>2059</v>
      </c>
      <c r="E189" s="83" t="b">
        <v>1</v>
      </c>
      <c r="F189" s="83" t="b">
        <v>0</v>
      </c>
      <c r="G189" s="83" t="b">
        <v>0</v>
      </c>
    </row>
    <row r="190" spans="1:7" ht="15">
      <c r="A190" s="84" t="s">
        <v>1607</v>
      </c>
      <c r="B190" s="83">
        <v>4</v>
      </c>
      <c r="C190" s="110">
        <v>0.001862097619440454</v>
      </c>
      <c r="D190" s="83" t="s">
        <v>2059</v>
      </c>
      <c r="E190" s="83" t="b">
        <v>0</v>
      </c>
      <c r="F190" s="83" t="b">
        <v>1</v>
      </c>
      <c r="G190" s="83" t="b">
        <v>0</v>
      </c>
    </row>
    <row r="191" spans="1:7" ht="15">
      <c r="A191" s="84" t="s">
        <v>1608</v>
      </c>
      <c r="B191" s="83">
        <v>4</v>
      </c>
      <c r="C191" s="110">
        <v>0.001986755874973804</v>
      </c>
      <c r="D191" s="83" t="s">
        <v>2059</v>
      </c>
      <c r="E191" s="83" t="b">
        <v>0</v>
      </c>
      <c r="F191" s="83" t="b">
        <v>0</v>
      </c>
      <c r="G191" s="83" t="b">
        <v>0</v>
      </c>
    </row>
    <row r="192" spans="1:7" ht="15">
      <c r="A192" s="84" t="s">
        <v>1609</v>
      </c>
      <c r="B192" s="83">
        <v>4</v>
      </c>
      <c r="C192" s="110">
        <v>0.001986755874973804</v>
      </c>
      <c r="D192" s="83" t="s">
        <v>2059</v>
      </c>
      <c r="E192" s="83" t="b">
        <v>0</v>
      </c>
      <c r="F192" s="83" t="b">
        <v>0</v>
      </c>
      <c r="G192" s="83" t="b">
        <v>0</v>
      </c>
    </row>
    <row r="193" spans="1:7" ht="15">
      <c r="A193" s="84" t="s">
        <v>1610</v>
      </c>
      <c r="B193" s="83">
        <v>4</v>
      </c>
      <c r="C193" s="110">
        <v>0.001862097619440454</v>
      </c>
      <c r="D193" s="83" t="s">
        <v>2059</v>
      </c>
      <c r="E193" s="83" t="b">
        <v>0</v>
      </c>
      <c r="F193" s="83" t="b">
        <v>0</v>
      </c>
      <c r="G193" s="83" t="b">
        <v>0</v>
      </c>
    </row>
    <row r="194" spans="1:7" ht="15">
      <c r="A194" s="84" t="s">
        <v>1611</v>
      </c>
      <c r="B194" s="83">
        <v>4</v>
      </c>
      <c r="C194" s="110">
        <v>0.0021624518181573224</v>
      </c>
      <c r="D194" s="83" t="s">
        <v>2059</v>
      </c>
      <c r="E194" s="83" t="b">
        <v>0</v>
      </c>
      <c r="F194" s="83" t="b">
        <v>0</v>
      </c>
      <c r="G194" s="83" t="b">
        <v>0</v>
      </c>
    </row>
    <row r="195" spans="1:7" ht="15">
      <c r="A195" s="84" t="s">
        <v>1612</v>
      </c>
      <c r="B195" s="83">
        <v>4</v>
      </c>
      <c r="C195" s="110">
        <v>0.001986755874973804</v>
      </c>
      <c r="D195" s="83" t="s">
        <v>2059</v>
      </c>
      <c r="E195" s="83" t="b">
        <v>0</v>
      </c>
      <c r="F195" s="83" t="b">
        <v>0</v>
      </c>
      <c r="G195" s="83" t="b">
        <v>0</v>
      </c>
    </row>
    <row r="196" spans="1:7" ht="15">
      <c r="A196" s="84" t="s">
        <v>1613</v>
      </c>
      <c r="B196" s="83">
        <v>4</v>
      </c>
      <c r="C196" s="110">
        <v>0.001862097619440454</v>
      </c>
      <c r="D196" s="83" t="s">
        <v>2059</v>
      </c>
      <c r="E196" s="83" t="b">
        <v>0</v>
      </c>
      <c r="F196" s="83" t="b">
        <v>0</v>
      </c>
      <c r="G196" s="83" t="b">
        <v>0</v>
      </c>
    </row>
    <row r="197" spans="1:7" ht="15">
      <c r="A197" s="84" t="s">
        <v>1614</v>
      </c>
      <c r="B197" s="83">
        <v>4</v>
      </c>
      <c r="C197" s="110">
        <v>0.001862097619440454</v>
      </c>
      <c r="D197" s="83" t="s">
        <v>2059</v>
      </c>
      <c r="E197" s="83" t="b">
        <v>0</v>
      </c>
      <c r="F197" s="83" t="b">
        <v>0</v>
      </c>
      <c r="G197" s="83" t="b">
        <v>0</v>
      </c>
    </row>
    <row r="198" spans="1:7" ht="15">
      <c r="A198" s="84" t="s">
        <v>1615</v>
      </c>
      <c r="B198" s="83">
        <v>4</v>
      </c>
      <c r="C198" s="110">
        <v>0.001862097619440454</v>
      </c>
      <c r="D198" s="83" t="s">
        <v>2059</v>
      </c>
      <c r="E198" s="83" t="b">
        <v>1</v>
      </c>
      <c r="F198" s="83" t="b">
        <v>0</v>
      </c>
      <c r="G198" s="83" t="b">
        <v>0</v>
      </c>
    </row>
    <row r="199" spans="1:7" ht="15">
      <c r="A199" s="84" t="s">
        <v>1616</v>
      </c>
      <c r="B199" s="83">
        <v>4</v>
      </c>
      <c r="C199" s="110">
        <v>0.001986755874973804</v>
      </c>
      <c r="D199" s="83" t="s">
        <v>2059</v>
      </c>
      <c r="E199" s="83" t="b">
        <v>0</v>
      </c>
      <c r="F199" s="83" t="b">
        <v>0</v>
      </c>
      <c r="G199" s="83" t="b">
        <v>0</v>
      </c>
    </row>
    <row r="200" spans="1:7" ht="15">
      <c r="A200" s="84" t="s">
        <v>1617</v>
      </c>
      <c r="B200" s="83">
        <v>4</v>
      </c>
      <c r="C200" s="110">
        <v>0.001862097619440454</v>
      </c>
      <c r="D200" s="83" t="s">
        <v>2059</v>
      </c>
      <c r="E200" s="83" t="b">
        <v>0</v>
      </c>
      <c r="F200" s="83" t="b">
        <v>0</v>
      </c>
      <c r="G200" s="83" t="b">
        <v>0</v>
      </c>
    </row>
    <row r="201" spans="1:7" ht="15">
      <c r="A201" s="84" t="s">
        <v>1618</v>
      </c>
      <c r="B201" s="83">
        <v>4</v>
      </c>
      <c r="C201" s="110">
        <v>0.001862097619440454</v>
      </c>
      <c r="D201" s="83" t="s">
        <v>2059</v>
      </c>
      <c r="E201" s="83" t="b">
        <v>0</v>
      </c>
      <c r="F201" s="83" t="b">
        <v>0</v>
      </c>
      <c r="G201" s="83" t="b">
        <v>0</v>
      </c>
    </row>
    <row r="202" spans="1:7" ht="15">
      <c r="A202" s="84" t="s">
        <v>1619</v>
      </c>
      <c r="B202" s="83">
        <v>4</v>
      </c>
      <c r="C202" s="110">
        <v>0.001862097619440454</v>
      </c>
      <c r="D202" s="83" t="s">
        <v>2059</v>
      </c>
      <c r="E202" s="83" t="b">
        <v>1</v>
      </c>
      <c r="F202" s="83" t="b">
        <v>0</v>
      </c>
      <c r="G202" s="83" t="b">
        <v>0</v>
      </c>
    </row>
    <row r="203" spans="1:7" ht="15">
      <c r="A203" s="84" t="s">
        <v>1620</v>
      </c>
      <c r="B203" s="83">
        <v>4</v>
      </c>
      <c r="C203" s="110">
        <v>0.001862097619440454</v>
      </c>
      <c r="D203" s="83" t="s">
        <v>2059</v>
      </c>
      <c r="E203" s="83" t="b">
        <v>0</v>
      </c>
      <c r="F203" s="83" t="b">
        <v>0</v>
      </c>
      <c r="G203" s="83" t="b">
        <v>0</v>
      </c>
    </row>
    <row r="204" spans="1:7" ht="15">
      <c r="A204" s="84" t="s">
        <v>1621</v>
      </c>
      <c r="B204" s="83">
        <v>4</v>
      </c>
      <c r="C204" s="110">
        <v>0.001862097619440454</v>
      </c>
      <c r="D204" s="83" t="s">
        <v>2059</v>
      </c>
      <c r="E204" s="83" t="b">
        <v>1</v>
      </c>
      <c r="F204" s="83" t="b">
        <v>0</v>
      </c>
      <c r="G204" s="83" t="b">
        <v>0</v>
      </c>
    </row>
    <row r="205" spans="1:7" ht="15">
      <c r="A205" s="84" t="s">
        <v>1622</v>
      </c>
      <c r="B205" s="83">
        <v>4</v>
      </c>
      <c r="C205" s="110">
        <v>0.001986755874973804</v>
      </c>
      <c r="D205" s="83" t="s">
        <v>2059</v>
      </c>
      <c r="E205" s="83" t="b">
        <v>0</v>
      </c>
      <c r="F205" s="83" t="b">
        <v>0</v>
      </c>
      <c r="G205" s="83" t="b">
        <v>0</v>
      </c>
    </row>
    <row r="206" spans="1:7" ht="15">
      <c r="A206" s="84" t="s">
        <v>1623</v>
      </c>
      <c r="B206" s="83">
        <v>4</v>
      </c>
      <c r="C206" s="110">
        <v>0.001862097619440454</v>
      </c>
      <c r="D206" s="83" t="s">
        <v>2059</v>
      </c>
      <c r="E206" s="83" t="b">
        <v>0</v>
      </c>
      <c r="F206" s="83" t="b">
        <v>0</v>
      </c>
      <c r="G206" s="83" t="b">
        <v>0</v>
      </c>
    </row>
    <row r="207" spans="1:7" ht="15">
      <c r="A207" s="84" t="s">
        <v>1624</v>
      </c>
      <c r="B207" s="83">
        <v>4</v>
      </c>
      <c r="C207" s="110">
        <v>0.0021624518181573224</v>
      </c>
      <c r="D207" s="83" t="s">
        <v>2059</v>
      </c>
      <c r="E207" s="83" t="b">
        <v>0</v>
      </c>
      <c r="F207" s="83" t="b">
        <v>0</v>
      </c>
      <c r="G207" s="83" t="b">
        <v>0</v>
      </c>
    </row>
    <row r="208" spans="1:7" ht="15">
      <c r="A208" s="84" t="s">
        <v>1625</v>
      </c>
      <c r="B208" s="83">
        <v>4</v>
      </c>
      <c r="C208" s="110">
        <v>0.001986755874973804</v>
      </c>
      <c r="D208" s="83" t="s">
        <v>2059</v>
      </c>
      <c r="E208" s="83" t="b">
        <v>0</v>
      </c>
      <c r="F208" s="83" t="b">
        <v>0</v>
      </c>
      <c r="G208" s="83" t="b">
        <v>0</v>
      </c>
    </row>
    <row r="209" spans="1:7" ht="15">
      <c r="A209" s="84" t="s">
        <v>1626</v>
      </c>
      <c r="B209" s="83">
        <v>4</v>
      </c>
      <c r="C209" s="110">
        <v>0.001862097619440454</v>
      </c>
      <c r="D209" s="83" t="s">
        <v>2059</v>
      </c>
      <c r="E209" s="83" t="b">
        <v>0</v>
      </c>
      <c r="F209" s="83" t="b">
        <v>0</v>
      </c>
      <c r="G209" s="83" t="b">
        <v>0</v>
      </c>
    </row>
    <row r="210" spans="1:7" ht="15">
      <c r="A210" s="84" t="s">
        <v>1627</v>
      </c>
      <c r="B210" s="83">
        <v>4</v>
      </c>
      <c r="C210" s="110">
        <v>0.001986755874973804</v>
      </c>
      <c r="D210" s="83" t="s">
        <v>2059</v>
      </c>
      <c r="E210" s="83" t="b">
        <v>0</v>
      </c>
      <c r="F210" s="83" t="b">
        <v>0</v>
      </c>
      <c r="G210" s="83" t="b">
        <v>0</v>
      </c>
    </row>
    <row r="211" spans="1:7" ht="15">
      <c r="A211" s="84" t="s">
        <v>1628</v>
      </c>
      <c r="B211" s="83">
        <v>4</v>
      </c>
      <c r="C211" s="110">
        <v>0.001862097619440454</v>
      </c>
      <c r="D211" s="83" t="s">
        <v>2059</v>
      </c>
      <c r="E211" s="83" t="b">
        <v>0</v>
      </c>
      <c r="F211" s="83" t="b">
        <v>0</v>
      </c>
      <c r="G211" s="83" t="b">
        <v>0</v>
      </c>
    </row>
    <row r="212" spans="1:7" ht="15">
      <c r="A212" s="84" t="s">
        <v>1629</v>
      </c>
      <c r="B212" s="83">
        <v>4</v>
      </c>
      <c r="C212" s="110">
        <v>0.0021624518181573224</v>
      </c>
      <c r="D212" s="83" t="s">
        <v>2059</v>
      </c>
      <c r="E212" s="83" t="b">
        <v>0</v>
      </c>
      <c r="F212" s="83" t="b">
        <v>0</v>
      </c>
      <c r="G212" s="83" t="b">
        <v>0</v>
      </c>
    </row>
    <row r="213" spans="1:7" ht="15">
      <c r="A213" s="84" t="s">
        <v>1630</v>
      </c>
      <c r="B213" s="83">
        <v>4</v>
      </c>
      <c r="C213" s="110">
        <v>0.001986755874973804</v>
      </c>
      <c r="D213" s="83" t="s">
        <v>2059</v>
      </c>
      <c r="E213" s="83" t="b">
        <v>0</v>
      </c>
      <c r="F213" s="83" t="b">
        <v>0</v>
      </c>
      <c r="G213" s="83" t="b">
        <v>0</v>
      </c>
    </row>
    <row r="214" spans="1:7" ht="15">
      <c r="A214" s="84" t="s">
        <v>1631</v>
      </c>
      <c r="B214" s="83">
        <v>4</v>
      </c>
      <c r="C214" s="110">
        <v>0.001862097619440454</v>
      </c>
      <c r="D214" s="83" t="s">
        <v>2059</v>
      </c>
      <c r="E214" s="83" t="b">
        <v>0</v>
      </c>
      <c r="F214" s="83" t="b">
        <v>0</v>
      </c>
      <c r="G214" s="83" t="b">
        <v>0</v>
      </c>
    </row>
    <row r="215" spans="1:7" ht="15">
      <c r="A215" s="84" t="s">
        <v>1632</v>
      </c>
      <c r="B215" s="83">
        <v>4</v>
      </c>
      <c r="C215" s="110">
        <v>0.0024628060168741905</v>
      </c>
      <c r="D215" s="83" t="s">
        <v>2059</v>
      </c>
      <c r="E215" s="83" t="b">
        <v>0</v>
      </c>
      <c r="F215" s="83" t="b">
        <v>0</v>
      </c>
      <c r="G215" s="83" t="b">
        <v>0</v>
      </c>
    </row>
    <row r="216" spans="1:7" ht="15">
      <c r="A216" s="84" t="s">
        <v>1633</v>
      </c>
      <c r="B216" s="83">
        <v>4</v>
      </c>
      <c r="C216" s="110">
        <v>0.001862097619440454</v>
      </c>
      <c r="D216" s="83" t="s">
        <v>2059</v>
      </c>
      <c r="E216" s="83" t="b">
        <v>0</v>
      </c>
      <c r="F216" s="83" t="b">
        <v>0</v>
      </c>
      <c r="G216" s="83" t="b">
        <v>0</v>
      </c>
    </row>
    <row r="217" spans="1:7" ht="15">
      <c r="A217" s="84" t="s">
        <v>1634</v>
      </c>
      <c r="B217" s="83">
        <v>4</v>
      </c>
      <c r="C217" s="110">
        <v>0.001986755874973804</v>
      </c>
      <c r="D217" s="83" t="s">
        <v>2059</v>
      </c>
      <c r="E217" s="83" t="b">
        <v>0</v>
      </c>
      <c r="F217" s="83" t="b">
        <v>0</v>
      </c>
      <c r="G217" s="83" t="b">
        <v>0</v>
      </c>
    </row>
    <row r="218" spans="1:7" ht="15">
      <c r="A218" s="84" t="s">
        <v>1635</v>
      </c>
      <c r="B218" s="83">
        <v>4</v>
      </c>
      <c r="C218" s="110">
        <v>0.001862097619440454</v>
      </c>
      <c r="D218" s="83" t="s">
        <v>2059</v>
      </c>
      <c r="E218" s="83" t="b">
        <v>0</v>
      </c>
      <c r="F218" s="83" t="b">
        <v>0</v>
      </c>
      <c r="G218" s="83" t="b">
        <v>0</v>
      </c>
    </row>
    <row r="219" spans="1:7" ht="15">
      <c r="A219" s="84" t="s">
        <v>1636</v>
      </c>
      <c r="B219" s="83">
        <v>4</v>
      </c>
      <c r="C219" s="110">
        <v>0.0021624518181573224</v>
      </c>
      <c r="D219" s="83" t="s">
        <v>2059</v>
      </c>
      <c r="E219" s="83" t="b">
        <v>0</v>
      </c>
      <c r="F219" s="83" t="b">
        <v>0</v>
      </c>
      <c r="G219" s="83" t="b">
        <v>0</v>
      </c>
    </row>
    <row r="220" spans="1:7" ht="15">
      <c r="A220" s="84" t="s">
        <v>1637</v>
      </c>
      <c r="B220" s="83">
        <v>4</v>
      </c>
      <c r="C220" s="110">
        <v>0.001862097619440454</v>
      </c>
      <c r="D220" s="83" t="s">
        <v>2059</v>
      </c>
      <c r="E220" s="83" t="b">
        <v>0</v>
      </c>
      <c r="F220" s="83" t="b">
        <v>0</v>
      </c>
      <c r="G220" s="83" t="b">
        <v>0</v>
      </c>
    </row>
    <row r="221" spans="1:7" ht="15">
      <c r="A221" s="84" t="s">
        <v>1638</v>
      </c>
      <c r="B221" s="83">
        <v>4</v>
      </c>
      <c r="C221" s="110">
        <v>0.0021624518181573224</v>
      </c>
      <c r="D221" s="83" t="s">
        <v>2059</v>
      </c>
      <c r="E221" s="83" t="b">
        <v>0</v>
      </c>
      <c r="F221" s="83" t="b">
        <v>0</v>
      </c>
      <c r="G221" s="83" t="b">
        <v>0</v>
      </c>
    </row>
    <row r="222" spans="1:7" ht="15">
      <c r="A222" s="84" t="s">
        <v>1639</v>
      </c>
      <c r="B222" s="83">
        <v>4</v>
      </c>
      <c r="C222" s="110">
        <v>0.0021624518181573224</v>
      </c>
      <c r="D222" s="83" t="s">
        <v>2059</v>
      </c>
      <c r="E222" s="83" t="b">
        <v>0</v>
      </c>
      <c r="F222" s="83" t="b">
        <v>0</v>
      </c>
      <c r="G222" s="83" t="b">
        <v>0</v>
      </c>
    </row>
    <row r="223" spans="1:7" ht="15">
      <c r="A223" s="84" t="s">
        <v>1640</v>
      </c>
      <c r="B223" s="83">
        <v>4</v>
      </c>
      <c r="C223" s="110">
        <v>0.001862097619440454</v>
      </c>
      <c r="D223" s="83" t="s">
        <v>2059</v>
      </c>
      <c r="E223" s="83" t="b">
        <v>0</v>
      </c>
      <c r="F223" s="83" t="b">
        <v>0</v>
      </c>
      <c r="G223" s="83" t="b">
        <v>0</v>
      </c>
    </row>
    <row r="224" spans="1:7" ht="15">
      <c r="A224" s="84" t="s">
        <v>1641</v>
      </c>
      <c r="B224" s="83">
        <v>4</v>
      </c>
      <c r="C224" s="110">
        <v>0.001862097619440454</v>
      </c>
      <c r="D224" s="83" t="s">
        <v>2059</v>
      </c>
      <c r="E224" s="83" t="b">
        <v>0</v>
      </c>
      <c r="F224" s="83" t="b">
        <v>0</v>
      </c>
      <c r="G224" s="83" t="b">
        <v>0</v>
      </c>
    </row>
    <row r="225" spans="1:7" ht="15">
      <c r="A225" s="84" t="s">
        <v>1642</v>
      </c>
      <c r="B225" s="83">
        <v>4</v>
      </c>
      <c r="C225" s="110">
        <v>0.0021624518181573224</v>
      </c>
      <c r="D225" s="83" t="s">
        <v>2059</v>
      </c>
      <c r="E225" s="83" t="b">
        <v>0</v>
      </c>
      <c r="F225" s="83" t="b">
        <v>0</v>
      </c>
      <c r="G225" s="83" t="b">
        <v>0</v>
      </c>
    </row>
    <row r="226" spans="1:7" ht="15">
      <c r="A226" s="84" t="s">
        <v>1643</v>
      </c>
      <c r="B226" s="83">
        <v>4</v>
      </c>
      <c r="C226" s="110">
        <v>0.001986755874973804</v>
      </c>
      <c r="D226" s="83" t="s">
        <v>2059</v>
      </c>
      <c r="E226" s="83" t="b">
        <v>0</v>
      </c>
      <c r="F226" s="83" t="b">
        <v>0</v>
      </c>
      <c r="G226" s="83" t="b">
        <v>0</v>
      </c>
    </row>
    <row r="227" spans="1:7" ht="15">
      <c r="A227" s="84" t="s">
        <v>1644</v>
      </c>
      <c r="B227" s="83">
        <v>4</v>
      </c>
      <c r="C227" s="110">
        <v>0.0021624518181573224</v>
      </c>
      <c r="D227" s="83" t="s">
        <v>2059</v>
      </c>
      <c r="E227" s="83" t="b">
        <v>0</v>
      </c>
      <c r="F227" s="83" t="b">
        <v>0</v>
      </c>
      <c r="G227" s="83" t="b">
        <v>0</v>
      </c>
    </row>
    <row r="228" spans="1:7" ht="15">
      <c r="A228" s="84" t="s">
        <v>1645</v>
      </c>
      <c r="B228" s="83">
        <v>4</v>
      </c>
      <c r="C228" s="110">
        <v>0.0021624518181573224</v>
      </c>
      <c r="D228" s="83" t="s">
        <v>2059</v>
      </c>
      <c r="E228" s="83" t="b">
        <v>0</v>
      </c>
      <c r="F228" s="83" t="b">
        <v>0</v>
      </c>
      <c r="G228" s="83" t="b">
        <v>0</v>
      </c>
    </row>
    <row r="229" spans="1:7" ht="15">
      <c r="A229" s="84" t="s">
        <v>1646</v>
      </c>
      <c r="B229" s="83">
        <v>4</v>
      </c>
      <c r="C229" s="110">
        <v>0.0021624518181573224</v>
      </c>
      <c r="D229" s="83" t="s">
        <v>2059</v>
      </c>
      <c r="E229" s="83" t="b">
        <v>0</v>
      </c>
      <c r="F229" s="83" t="b">
        <v>0</v>
      </c>
      <c r="G229" s="83" t="b">
        <v>0</v>
      </c>
    </row>
    <row r="230" spans="1:7" ht="15">
      <c r="A230" s="84" t="s">
        <v>1647</v>
      </c>
      <c r="B230" s="83">
        <v>3</v>
      </c>
      <c r="C230" s="110">
        <v>0.0014900669062303527</v>
      </c>
      <c r="D230" s="83" t="s">
        <v>2059</v>
      </c>
      <c r="E230" s="83" t="b">
        <v>0</v>
      </c>
      <c r="F230" s="83" t="b">
        <v>0</v>
      </c>
      <c r="G230" s="83" t="b">
        <v>0</v>
      </c>
    </row>
    <row r="231" spans="1:7" ht="15">
      <c r="A231" s="84" t="s">
        <v>1648</v>
      </c>
      <c r="B231" s="83">
        <v>3</v>
      </c>
      <c r="C231" s="110">
        <v>0.0014900669062303527</v>
      </c>
      <c r="D231" s="83" t="s">
        <v>2059</v>
      </c>
      <c r="E231" s="83" t="b">
        <v>0</v>
      </c>
      <c r="F231" s="83" t="b">
        <v>0</v>
      </c>
      <c r="G231" s="83" t="b">
        <v>0</v>
      </c>
    </row>
    <row r="232" spans="1:7" ht="15">
      <c r="A232" s="84" t="s">
        <v>1649</v>
      </c>
      <c r="B232" s="83">
        <v>3</v>
      </c>
      <c r="C232" s="110">
        <v>0.0016218388636179914</v>
      </c>
      <c r="D232" s="83" t="s">
        <v>2059</v>
      </c>
      <c r="E232" s="83" t="b">
        <v>0</v>
      </c>
      <c r="F232" s="83" t="b">
        <v>0</v>
      </c>
      <c r="G232" s="83" t="b">
        <v>0</v>
      </c>
    </row>
    <row r="233" spans="1:7" ht="15">
      <c r="A233" s="84" t="s">
        <v>1650</v>
      </c>
      <c r="B233" s="83">
        <v>3</v>
      </c>
      <c r="C233" s="110">
        <v>0.0014900669062303527</v>
      </c>
      <c r="D233" s="83" t="s">
        <v>2059</v>
      </c>
      <c r="E233" s="83" t="b">
        <v>0</v>
      </c>
      <c r="F233" s="83" t="b">
        <v>0</v>
      </c>
      <c r="G233" s="83" t="b">
        <v>0</v>
      </c>
    </row>
    <row r="234" spans="1:7" ht="15">
      <c r="A234" s="84" t="s">
        <v>1651</v>
      </c>
      <c r="B234" s="83">
        <v>3</v>
      </c>
      <c r="C234" s="110">
        <v>0.0014900669062303527</v>
      </c>
      <c r="D234" s="83" t="s">
        <v>2059</v>
      </c>
      <c r="E234" s="83" t="b">
        <v>0</v>
      </c>
      <c r="F234" s="83" t="b">
        <v>0</v>
      </c>
      <c r="G234" s="83" t="b">
        <v>0</v>
      </c>
    </row>
    <row r="235" spans="1:7" ht="15">
      <c r="A235" s="84" t="s">
        <v>1652</v>
      </c>
      <c r="B235" s="83">
        <v>3</v>
      </c>
      <c r="C235" s="110">
        <v>0.0016218388636179914</v>
      </c>
      <c r="D235" s="83" t="s">
        <v>2059</v>
      </c>
      <c r="E235" s="83" t="b">
        <v>0</v>
      </c>
      <c r="F235" s="83" t="b">
        <v>0</v>
      </c>
      <c r="G235" s="83" t="b">
        <v>0</v>
      </c>
    </row>
    <row r="236" spans="1:7" ht="15">
      <c r="A236" s="84" t="s">
        <v>1653</v>
      </c>
      <c r="B236" s="83">
        <v>3</v>
      </c>
      <c r="C236" s="110">
        <v>0.0014900669062303527</v>
      </c>
      <c r="D236" s="83" t="s">
        <v>2059</v>
      </c>
      <c r="E236" s="83" t="b">
        <v>0</v>
      </c>
      <c r="F236" s="83" t="b">
        <v>0</v>
      </c>
      <c r="G236" s="83" t="b">
        <v>0</v>
      </c>
    </row>
    <row r="237" spans="1:7" ht="15">
      <c r="A237" s="84" t="s">
        <v>1654</v>
      </c>
      <c r="B237" s="83">
        <v>3</v>
      </c>
      <c r="C237" s="110">
        <v>0.0016218388636179914</v>
      </c>
      <c r="D237" s="83" t="s">
        <v>2059</v>
      </c>
      <c r="E237" s="83" t="b">
        <v>0</v>
      </c>
      <c r="F237" s="83" t="b">
        <v>0</v>
      </c>
      <c r="G237" s="83" t="b">
        <v>0</v>
      </c>
    </row>
    <row r="238" spans="1:7" ht="15">
      <c r="A238" s="84" t="s">
        <v>1655</v>
      </c>
      <c r="B238" s="83">
        <v>3</v>
      </c>
      <c r="C238" s="110">
        <v>0.0016218388636179914</v>
      </c>
      <c r="D238" s="83" t="s">
        <v>2059</v>
      </c>
      <c r="E238" s="83" t="b">
        <v>0</v>
      </c>
      <c r="F238" s="83" t="b">
        <v>0</v>
      </c>
      <c r="G238" s="83" t="b">
        <v>0</v>
      </c>
    </row>
    <row r="239" spans="1:7" ht="15">
      <c r="A239" s="84" t="s">
        <v>1656</v>
      </c>
      <c r="B239" s="83">
        <v>3</v>
      </c>
      <c r="C239" s="110">
        <v>0.0016218388636179914</v>
      </c>
      <c r="D239" s="83" t="s">
        <v>2059</v>
      </c>
      <c r="E239" s="83" t="b">
        <v>0</v>
      </c>
      <c r="F239" s="83" t="b">
        <v>0</v>
      </c>
      <c r="G239" s="83" t="b">
        <v>0</v>
      </c>
    </row>
    <row r="240" spans="1:7" ht="15">
      <c r="A240" s="84" t="s">
        <v>1657</v>
      </c>
      <c r="B240" s="83">
        <v>3</v>
      </c>
      <c r="C240" s="110">
        <v>0.0014900669062303527</v>
      </c>
      <c r="D240" s="83" t="s">
        <v>2059</v>
      </c>
      <c r="E240" s="83" t="b">
        <v>0</v>
      </c>
      <c r="F240" s="83" t="b">
        <v>0</v>
      </c>
      <c r="G240" s="83" t="b">
        <v>0</v>
      </c>
    </row>
    <row r="241" spans="1:7" ht="15">
      <c r="A241" s="84" t="s">
        <v>1658</v>
      </c>
      <c r="B241" s="83">
        <v>3</v>
      </c>
      <c r="C241" s="110">
        <v>0.0014900669062303527</v>
      </c>
      <c r="D241" s="83" t="s">
        <v>2059</v>
      </c>
      <c r="E241" s="83" t="b">
        <v>0</v>
      </c>
      <c r="F241" s="83" t="b">
        <v>0</v>
      </c>
      <c r="G241" s="83" t="b">
        <v>0</v>
      </c>
    </row>
    <row r="242" spans="1:7" ht="15">
      <c r="A242" s="84" t="s">
        <v>1659</v>
      </c>
      <c r="B242" s="83">
        <v>3</v>
      </c>
      <c r="C242" s="110">
        <v>0.0014900669062303527</v>
      </c>
      <c r="D242" s="83" t="s">
        <v>2059</v>
      </c>
      <c r="E242" s="83" t="b">
        <v>0</v>
      </c>
      <c r="F242" s="83" t="b">
        <v>0</v>
      </c>
      <c r="G242" s="83" t="b">
        <v>0</v>
      </c>
    </row>
    <row r="243" spans="1:7" ht="15">
      <c r="A243" s="84" t="s">
        <v>1660</v>
      </c>
      <c r="B243" s="83">
        <v>3</v>
      </c>
      <c r="C243" s="110">
        <v>0.0014900669062303527</v>
      </c>
      <c r="D243" s="83" t="s">
        <v>2059</v>
      </c>
      <c r="E243" s="83" t="b">
        <v>0</v>
      </c>
      <c r="F243" s="83" t="b">
        <v>0</v>
      </c>
      <c r="G243" s="83" t="b">
        <v>0</v>
      </c>
    </row>
    <row r="244" spans="1:7" ht="15">
      <c r="A244" s="84" t="s">
        <v>1661</v>
      </c>
      <c r="B244" s="83">
        <v>3</v>
      </c>
      <c r="C244" s="110">
        <v>0.0014900669062303527</v>
      </c>
      <c r="D244" s="83" t="s">
        <v>2059</v>
      </c>
      <c r="E244" s="83" t="b">
        <v>0</v>
      </c>
      <c r="F244" s="83" t="b">
        <v>0</v>
      </c>
      <c r="G244" s="83" t="b">
        <v>0</v>
      </c>
    </row>
    <row r="245" spans="1:7" ht="15">
      <c r="A245" s="84" t="s">
        <v>1662</v>
      </c>
      <c r="B245" s="83">
        <v>3</v>
      </c>
      <c r="C245" s="110">
        <v>0.0014900669062303527</v>
      </c>
      <c r="D245" s="83" t="s">
        <v>2059</v>
      </c>
      <c r="E245" s="83" t="b">
        <v>0</v>
      </c>
      <c r="F245" s="83" t="b">
        <v>0</v>
      </c>
      <c r="G245" s="83" t="b">
        <v>0</v>
      </c>
    </row>
    <row r="246" spans="1:7" ht="15">
      <c r="A246" s="84" t="s">
        <v>1663</v>
      </c>
      <c r="B246" s="83">
        <v>3</v>
      </c>
      <c r="C246" s="110">
        <v>0.0014900669062303527</v>
      </c>
      <c r="D246" s="83" t="s">
        <v>2059</v>
      </c>
      <c r="E246" s="83" t="b">
        <v>0</v>
      </c>
      <c r="F246" s="83" t="b">
        <v>0</v>
      </c>
      <c r="G246" s="83" t="b">
        <v>0</v>
      </c>
    </row>
    <row r="247" spans="1:7" ht="15">
      <c r="A247" s="84" t="s">
        <v>1664</v>
      </c>
      <c r="B247" s="83">
        <v>3</v>
      </c>
      <c r="C247" s="110">
        <v>0.0014900669062303527</v>
      </c>
      <c r="D247" s="83" t="s">
        <v>2059</v>
      </c>
      <c r="E247" s="83" t="b">
        <v>0</v>
      </c>
      <c r="F247" s="83" t="b">
        <v>0</v>
      </c>
      <c r="G247" s="83" t="b">
        <v>0</v>
      </c>
    </row>
    <row r="248" spans="1:7" ht="15">
      <c r="A248" s="84" t="s">
        <v>1665</v>
      </c>
      <c r="B248" s="83">
        <v>3</v>
      </c>
      <c r="C248" s="110">
        <v>0.0014900669062303527</v>
      </c>
      <c r="D248" s="83" t="s">
        <v>2059</v>
      </c>
      <c r="E248" s="83" t="b">
        <v>0</v>
      </c>
      <c r="F248" s="83" t="b">
        <v>0</v>
      </c>
      <c r="G248" s="83" t="b">
        <v>0</v>
      </c>
    </row>
    <row r="249" spans="1:7" ht="15">
      <c r="A249" s="84" t="s">
        <v>1666</v>
      </c>
      <c r="B249" s="83">
        <v>3</v>
      </c>
      <c r="C249" s="110">
        <v>0.0014900669062303527</v>
      </c>
      <c r="D249" s="83" t="s">
        <v>2059</v>
      </c>
      <c r="E249" s="83" t="b">
        <v>0</v>
      </c>
      <c r="F249" s="83" t="b">
        <v>0</v>
      </c>
      <c r="G249" s="83" t="b">
        <v>0</v>
      </c>
    </row>
    <row r="250" spans="1:7" ht="15">
      <c r="A250" s="84" t="s">
        <v>1667</v>
      </c>
      <c r="B250" s="83">
        <v>3</v>
      </c>
      <c r="C250" s="110">
        <v>0.0014900669062303527</v>
      </c>
      <c r="D250" s="83" t="s">
        <v>2059</v>
      </c>
      <c r="E250" s="83" t="b">
        <v>0</v>
      </c>
      <c r="F250" s="83" t="b">
        <v>0</v>
      </c>
      <c r="G250" s="83" t="b">
        <v>0</v>
      </c>
    </row>
    <row r="251" spans="1:7" ht="15">
      <c r="A251" s="84" t="s">
        <v>1668</v>
      </c>
      <c r="B251" s="83">
        <v>3</v>
      </c>
      <c r="C251" s="110">
        <v>0.0014900669062303527</v>
      </c>
      <c r="D251" s="83" t="s">
        <v>2059</v>
      </c>
      <c r="E251" s="83" t="b">
        <v>0</v>
      </c>
      <c r="F251" s="83" t="b">
        <v>0</v>
      </c>
      <c r="G251" s="83" t="b">
        <v>0</v>
      </c>
    </row>
    <row r="252" spans="1:7" ht="15">
      <c r="A252" s="84" t="s">
        <v>1669</v>
      </c>
      <c r="B252" s="83">
        <v>3</v>
      </c>
      <c r="C252" s="110">
        <v>0.0014900669062303527</v>
      </c>
      <c r="D252" s="83" t="s">
        <v>2059</v>
      </c>
      <c r="E252" s="83" t="b">
        <v>1</v>
      </c>
      <c r="F252" s="83" t="b">
        <v>0</v>
      </c>
      <c r="G252" s="83" t="b">
        <v>0</v>
      </c>
    </row>
    <row r="253" spans="1:7" ht="15">
      <c r="A253" s="84" t="s">
        <v>1670</v>
      </c>
      <c r="B253" s="83">
        <v>3</v>
      </c>
      <c r="C253" s="110">
        <v>0.0016218388636179914</v>
      </c>
      <c r="D253" s="83" t="s">
        <v>2059</v>
      </c>
      <c r="E253" s="83" t="b">
        <v>0</v>
      </c>
      <c r="F253" s="83" t="b">
        <v>0</v>
      </c>
      <c r="G253" s="83" t="b">
        <v>0</v>
      </c>
    </row>
    <row r="254" spans="1:7" ht="15">
      <c r="A254" s="84" t="s">
        <v>1671</v>
      </c>
      <c r="B254" s="83">
        <v>3</v>
      </c>
      <c r="C254" s="110">
        <v>0.0014900669062303527</v>
      </c>
      <c r="D254" s="83" t="s">
        <v>2059</v>
      </c>
      <c r="E254" s="83" t="b">
        <v>0</v>
      </c>
      <c r="F254" s="83" t="b">
        <v>0</v>
      </c>
      <c r="G254" s="83" t="b">
        <v>0</v>
      </c>
    </row>
    <row r="255" spans="1:7" ht="15">
      <c r="A255" s="84" t="s">
        <v>1672</v>
      </c>
      <c r="B255" s="83">
        <v>3</v>
      </c>
      <c r="C255" s="110">
        <v>0.0014900669062303527</v>
      </c>
      <c r="D255" s="83" t="s">
        <v>2059</v>
      </c>
      <c r="E255" s="83" t="b">
        <v>1</v>
      </c>
      <c r="F255" s="83" t="b">
        <v>0</v>
      </c>
      <c r="G255" s="83" t="b">
        <v>0</v>
      </c>
    </row>
    <row r="256" spans="1:7" ht="15">
      <c r="A256" s="84" t="s">
        <v>1673</v>
      </c>
      <c r="B256" s="83">
        <v>3</v>
      </c>
      <c r="C256" s="110">
        <v>0.0014900669062303527</v>
      </c>
      <c r="D256" s="83" t="s">
        <v>2059</v>
      </c>
      <c r="E256" s="83" t="b">
        <v>0</v>
      </c>
      <c r="F256" s="83" t="b">
        <v>0</v>
      </c>
      <c r="G256" s="83" t="b">
        <v>0</v>
      </c>
    </row>
    <row r="257" spans="1:7" ht="15">
      <c r="A257" s="84" t="s">
        <v>1674</v>
      </c>
      <c r="B257" s="83">
        <v>3</v>
      </c>
      <c r="C257" s="110">
        <v>0.0014900669062303527</v>
      </c>
      <c r="D257" s="83" t="s">
        <v>2059</v>
      </c>
      <c r="E257" s="83" t="b">
        <v>0</v>
      </c>
      <c r="F257" s="83" t="b">
        <v>0</v>
      </c>
      <c r="G257" s="83" t="b">
        <v>0</v>
      </c>
    </row>
    <row r="258" spans="1:7" ht="15">
      <c r="A258" s="84" t="s">
        <v>1675</v>
      </c>
      <c r="B258" s="83">
        <v>3</v>
      </c>
      <c r="C258" s="110">
        <v>0.0014900669062303527</v>
      </c>
      <c r="D258" s="83" t="s">
        <v>2059</v>
      </c>
      <c r="E258" s="83" t="b">
        <v>0</v>
      </c>
      <c r="F258" s="83" t="b">
        <v>0</v>
      </c>
      <c r="G258" s="83" t="b">
        <v>0</v>
      </c>
    </row>
    <row r="259" spans="1:7" ht="15">
      <c r="A259" s="84" t="s">
        <v>1676</v>
      </c>
      <c r="B259" s="83">
        <v>3</v>
      </c>
      <c r="C259" s="110">
        <v>0.0014900669062303527</v>
      </c>
      <c r="D259" s="83" t="s">
        <v>2059</v>
      </c>
      <c r="E259" s="83" t="b">
        <v>1</v>
      </c>
      <c r="F259" s="83" t="b">
        <v>0</v>
      </c>
      <c r="G259" s="83" t="b">
        <v>0</v>
      </c>
    </row>
    <row r="260" spans="1:7" ht="15">
      <c r="A260" s="84" t="s">
        <v>1677</v>
      </c>
      <c r="B260" s="83">
        <v>3</v>
      </c>
      <c r="C260" s="110">
        <v>0.0014900669062303527</v>
      </c>
      <c r="D260" s="83" t="s">
        <v>2059</v>
      </c>
      <c r="E260" s="83" t="b">
        <v>0</v>
      </c>
      <c r="F260" s="83" t="b">
        <v>0</v>
      </c>
      <c r="G260" s="83" t="b">
        <v>0</v>
      </c>
    </row>
    <row r="261" spans="1:7" ht="15">
      <c r="A261" s="84" t="s">
        <v>1678</v>
      </c>
      <c r="B261" s="83">
        <v>3</v>
      </c>
      <c r="C261" s="110">
        <v>0.0016218388636179914</v>
      </c>
      <c r="D261" s="83" t="s">
        <v>2059</v>
      </c>
      <c r="E261" s="83" t="b">
        <v>0</v>
      </c>
      <c r="F261" s="83" t="b">
        <v>1</v>
      </c>
      <c r="G261" s="83" t="b">
        <v>0</v>
      </c>
    </row>
    <row r="262" spans="1:7" ht="15">
      <c r="A262" s="84" t="s">
        <v>1679</v>
      </c>
      <c r="B262" s="83">
        <v>3</v>
      </c>
      <c r="C262" s="110">
        <v>0.0016218388636179914</v>
      </c>
      <c r="D262" s="83" t="s">
        <v>2059</v>
      </c>
      <c r="E262" s="83" t="b">
        <v>0</v>
      </c>
      <c r="F262" s="83" t="b">
        <v>0</v>
      </c>
      <c r="G262" s="83" t="b">
        <v>0</v>
      </c>
    </row>
    <row r="263" spans="1:7" ht="15">
      <c r="A263" s="84" t="s">
        <v>1680</v>
      </c>
      <c r="B263" s="83">
        <v>3</v>
      </c>
      <c r="C263" s="110">
        <v>0.0014900669062303527</v>
      </c>
      <c r="D263" s="83" t="s">
        <v>2059</v>
      </c>
      <c r="E263" s="83" t="b">
        <v>0</v>
      </c>
      <c r="F263" s="83" t="b">
        <v>0</v>
      </c>
      <c r="G263" s="83" t="b">
        <v>0</v>
      </c>
    </row>
    <row r="264" spans="1:7" ht="15">
      <c r="A264" s="84" t="s">
        <v>1681</v>
      </c>
      <c r="B264" s="83">
        <v>3</v>
      </c>
      <c r="C264" s="110">
        <v>0.0014900669062303527</v>
      </c>
      <c r="D264" s="83" t="s">
        <v>2059</v>
      </c>
      <c r="E264" s="83" t="b">
        <v>0</v>
      </c>
      <c r="F264" s="83" t="b">
        <v>0</v>
      </c>
      <c r="G264" s="83" t="b">
        <v>0</v>
      </c>
    </row>
    <row r="265" spans="1:7" ht="15">
      <c r="A265" s="84" t="s">
        <v>1682</v>
      </c>
      <c r="B265" s="83">
        <v>3</v>
      </c>
      <c r="C265" s="110">
        <v>0.0014900669062303527</v>
      </c>
      <c r="D265" s="83" t="s">
        <v>2059</v>
      </c>
      <c r="E265" s="83" t="b">
        <v>1</v>
      </c>
      <c r="F265" s="83" t="b">
        <v>0</v>
      </c>
      <c r="G265" s="83" t="b">
        <v>0</v>
      </c>
    </row>
    <row r="266" spans="1:7" ht="15">
      <c r="A266" s="84" t="s">
        <v>1683</v>
      </c>
      <c r="B266" s="83">
        <v>3</v>
      </c>
      <c r="C266" s="110">
        <v>0.0016218388636179914</v>
      </c>
      <c r="D266" s="83" t="s">
        <v>2059</v>
      </c>
      <c r="E266" s="83" t="b">
        <v>0</v>
      </c>
      <c r="F266" s="83" t="b">
        <v>0</v>
      </c>
      <c r="G266" s="83" t="b">
        <v>0</v>
      </c>
    </row>
    <row r="267" spans="1:7" ht="15">
      <c r="A267" s="84" t="s">
        <v>1684</v>
      </c>
      <c r="B267" s="83">
        <v>3</v>
      </c>
      <c r="C267" s="110">
        <v>0.0016218388636179914</v>
      </c>
      <c r="D267" s="83" t="s">
        <v>2059</v>
      </c>
      <c r="E267" s="83" t="b">
        <v>0</v>
      </c>
      <c r="F267" s="83" t="b">
        <v>0</v>
      </c>
      <c r="G267" s="83" t="b">
        <v>0</v>
      </c>
    </row>
    <row r="268" spans="1:7" ht="15">
      <c r="A268" s="84" t="s">
        <v>1685</v>
      </c>
      <c r="B268" s="83">
        <v>3</v>
      </c>
      <c r="C268" s="110">
        <v>0.0014900669062303527</v>
      </c>
      <c r="D268" s="83" t="s">
        <v>2059</v>
      </c>
      <c r="E268" s="83" t="b">
        <v>0</v>
      </c>
      <c r="F268" s="83" t="b">
        <v>0</v>
      </c>
      <c r="G268" s="83" t="b">
        <v>0</v>
      </c>
    </row>
    <row r="269" spans="1:7" ht="15">
      <c r="A269" s="84" t="s">
        <v>1686</v>
      </c>
      <c r="B269" s="83">
        <v>3</v>
      </c>
      <c r="C269" s="110">
        <v>0.0014900669062303527</v>
      </c>
      <c r="D269" s="83" t="s">
        <v>2059</v>
      </c>
      <c r="E269" s="83" t="b">
        <v>0</v>
      </c>
      <c r="F269" s="83" t="b">
        <v>0</v>
      </c>
      <c r="G269" s="83" t="b">
        <v>0</v>
      </c>
    </row>
    <row r="270" spans="1:7" ht="15">
      <c r="A270" s="84" t="s">
        <v>1687</v>
      </c>
      <c r="B270" s="83">
        <v>3</v>
      </c>
      <c r="C270" s="110">
        <v>0.0016218388636179914</v>
      </c>
      <c r="D270" s="83" t="s">
        <v>2059</v>
      </c>
      <c r="E270" s="83" t="b">
        <v>0</v>
      </c>
      <c r="F270" s="83" t="b">
        <v>0</v>
      </c>
      <c r="G270" s="83" t="b">
        <v>0</v>
      </c>
    </row>
    <row r="271" spans="1:7" ht="15">
      <c r="A271" s="84" t="s">
        <v>1688</v>
      </c>
      <c r="B271" s="83">
        <v>3</v>
      </c>
      <c r="C271" s="110">
        <v>0.0014900669062303527</v>
      </c>
      <c r="D271" s="83" t="s">
        <v>2059</v>
      </c>
      <c r="E271" s="83" t="b">
        <v>0</v>
      </c>
      <c r="F271" s="83" t="b">
        <v>0</v>
      </c>
      <c r="G271" s="83" t="b">
        <v>0</v>
      </c>
    </row>
    <row r="272" spans="1:7" ht="15">
      <c r="A272" s="84" t="s">
        <v>1689</v>
      </c>
      <c r="B272" s="83">
        <v>3</v>
      </c>
      <c r="C272" s="110">
        <v>0.0014900669062303527</v>
      </c>
      <c r="D272" s="83" t="s">
        <v>2059</v>
      </c>
      <c r="E272" s="83" t="b">
        <v>0</v>
      </c>
      <c r="F272" s="83" t="b">
        <v>0</v>
      </c>
      <c r="G272" s="83" t="b">
        <v>0</v>
      </c>
    </row>
    <row r="273" spans="1:7" ht="15">
      <c r="A273" s="84" t="s">
        <v>1690</v>
      </c>
      <c r="B273" s="83">
        <v>3</v>
      </c>
      <c r="C273" s="110">
        <v>0.0014900669062303527</v>
      </c>
      <c r="D273" s="83" t="s">
        <v>2059</v>
      </c>
      <c r="E273" s="83" t="b">
        <v>0</v>
      </c>
      <c r="F273" s="83" t="b">
        <v>0</v>
      </c>
      <c r="G273" s="83" t="b">
        <v>0</v>
      </c>
    </row>
    <row r="274" spans="1:7" ht="15">
      <c r="A274" s="84" t="s">
        <v>1691</v>
      </c>
      <c r="B274" s="83">
        <v>3</v>
      </c>
      <c r="C274" s="110">
        <v>0.0016218388636179914</v>
      </c>
      <c r="D274" s="83" t="s">
        <v>2059</v>
      </c>
      <c r="E274" s="83" t="b">
        <v>0</v>
      </c>
      <c r="F274" s="83" t="b">
        <v>0</v>
      </c>
      <c r="G274" s="83" t="b">
        <v>0</v>
      </c>
    </row>
    <row r="275" spans="1:7" ht="15">
      <c r="A275" s="84" t="s">
        <v>1692</v>
      </c>
      <c r="B275" s="83">
        <v>3</v>
      </c>
      <c r="C275" s="110">
        <v>0.0014900669062303527</v>
      </c>
      <c r="D275" s="83" t="s">
        <v>2059</v>
      </c>
      <c r="E275" s="83" t="b">
        <v>0</v>
      </c>
      <c r="F275" s="83" t="b">
        <v>0</v>
      </c>
      <c r="G275" s="83" t="b">
        <v>0</v>
      </c>
    </row>
    <row r="276" spans="1:7" ht="15">
      <c r="A276" s="84" t="s">
        <v>1693</v>
      </c>
      <c r="B276" s="83">
        <v>3</v>
      </c>
      <c r="C276" s="110">
        <v>0.0014900669062303527</v>
      </c>
      <c r="D276" s="83" t="s">
        <v>2059</v>
      </c>
      <c r="E276" s="83" t="b">
        <v>0</v>
      </c>
      <c r="F276" s="83" t="b">
        <v>0</v>
      </c>
      <c r="G276" s="83" t="b">
        <v>0</v>
      </c>
    </row>
    <row r="277" spans="1:7" ht="15">
      <c r="A277" s="84" t="s">
        <v>1694</v>
      </c>
      <c r="B277" s="83">
        <v>3</v>
      </c>
      <c r="C277" s="110">
        <v>0.0014900669062303527</v>
      </c>
      <c r="D277" s="83" t="s">
        <v>2059</v>
      </c>
      <c r="E277" s="83" t="b">
        <v>0</v>
      </c>
      <c r="F277" s="83" t="b">
        <v>0</v>
      </c>
      <c r="G277" s="83" t="b">
        <v>0</v>
      </c>
    </row>
    <row r="278" spans="1:7" ht="15">
      <c r="A278" s="84" t="s">
        <v>1695</v>
      </c>
      <c r="B278" s="83">
        <v>3</v>
      </c>
      <c r="C278" s="110">
        <v>0.0016218388636179914</v>
      </c>
      <c r="D278" s="83" t="s">
        <v>2059</v>
      </c>
      <c r="E278" s="83" t="b">
        <v>0</v>
      </c>
      <c r="F278" s="83" t="b">
        <v>0</v>
      </c>
      <c r="G278" s="83" t="b">
        <v>0</v>
      </c>
    </row>
    <row r="279" spans="1:7" ht="15">
      <c r="A279" s="84" t="s">
        <v>1696</v>
      </c>
      <c r="B279" s="83">
        <v>3</v>
      </c>
      <c r="C279" s="110">
        <v>0.0016218388636179914</v>
      </c>
      <c r="D279" s="83" t="s">
        <v>2059</v>
      </c>
      <c r="E279" s="83" t="b">
        <v>0</v>
      </c>
      <c r="F279" s="83" t="b">
        <v>0</v>
      </c>
      <c r="G279" s="83" t="b">
        <v>0</v>
      </c>
    </row>
    <row r="280" spans="1:7" ht="15">
      <c r="A280" s="84" t="s">
        <v>1697</v>
      </c>
      <c r="B280" s="83">
        <v>3</v>
      </c>
      <c r="C280" s="110">
        <v>0.0014900669062303527</v>
      </c>
      <c r="D280" s="83" t="s">
        <v>2059</v>
      </c>
      <c r="E280" s="83" t="b">
        <v>0</v>
      </c>
      <c r="F280" s="83" t="b">
        <v>0</v>
      </c>
      <c r="G280" s="83" t="b">
        <v>0</v>
      </c>
    </row>
    <row r="281" spans="1:7" ht="15">
      <c r="A281" s="84" t="s">
        <v>1698</v>
      </c>
      <c r="B281" s="83">
        <v>3</v>
      </c>
      <c r="C281" s="110">
        <v>0.0014900669062303527</v>
      </c>
      <c r="D281" s="83" t="s">
        <v>2059</v>
      </c>
      <c r="E281" s="83" t="b">
        <v>0</v>
      </c>
      <c r="F281" s="83" t="b">
        <v>0</v>
      </c>
      <c r="G281" s="83" t="b">
        <v>0</v>
      </c>
    </row>
    <row r="282" spans="1:7" ht="15">
      <c r="A282" s="84" t="s">
        <v>1699</v>
      </c>
      <c r="B282" s="83">
        <v>3</v>
      </c>
      <c r="C282" s="110">
        <v>0.0014900669062303527</v>
      </c>
      <c r="D282" s="83" t="s">
        <v>2059</v>
      </c>
      <c r="E282" s="83" t="b">
        <v>0</v>
      </c>
      <c r="F282" s="83" t="b">
        <v>0</v>
      </c>
      <c r="G282" s="83" t="b">
        <v>0</v>
      </c>
    </row>
    <row r="283" spans="1:7" ht="15">
      <c r="A283" s="84" t="s">
        <v>1700</v>
      </c>
      <c r="B283" s="83">
        <v>3</v>
      </c>
      <c r="C283" s="110">
        <v>0.0014900669062303527</v>
      </c>
      <c r="D283" s="83" t="s">
        <v>2059</v>
      </c>
      <c r="E283" s="83" t="b">
        <v>0</v>
      </c>
      <c r="F283" s="83" t="b">
        <v>0</v>
      </c>
      <c r="G283" s="83" t="b">
        <v>0</v>
      </c>
    </row>
    <row r="284" spans="1:7" ht="15">
      <c r="A284" s="84" t="s">
        <v>1701</v>
      </c>
      <c r="B284" s="83">
        <v>3</v>
      </c>
      <c r="C284" s="110">
        <v>0.0016218388636179914</v>
      </c>
      <c r="D284" s="83" t="s">
        <v>2059</v>
      </c>
      <c r="E284" s="83" t="b">
        <v>0</v>
      </c>
      <c r="F284" s="83" t="b">
        <v>0</v>
      </c>
      <c r="G284" s="83" t="b">
        <v>0</v>
      </c>
    </row>
    <row r="285" spans="1:7" ht="15">
      <c r="A285" s="84" t="s">
        <v>1702</v>
      </c>
      <c r="B285" s="83">
        <v>3</v>
      </c>
      <c r="C285" s="110">
        <v>0.0014900669062303527</v>
      </c>
      <c r="D285" s="83" t="s">
        <v>2059</v>
      </c>
      <c r="E285" s="83" t="b">
        <v>0</v>
      </c>
      <c r="F285" s="83" t="b">
        <v>0</v>
      </c>
      <c r="G285" s="83" t="b">
        <v>0</v>
      </c>
    </row>
    <row r="286" spans="1:7" ht="15">
      <c r="A286" s="84" t="s">
        <v>1703</v>
      </c>
      <c r="B286" s="83">
        <v>3</v>
      </c>
      <c r="C286" s="110">
        <v>0.0016218388636179914</v>
      </c>
      <c r="D286" s="83" t="s">
        <v>2059</v>
      </c>
      <c r="E286" s="83" t="b">
        <v>0</v>
      </c>
      <c r="F286" s="83" t="b">
        <v>0</v>
      </c>
      <c r="G286" s="83" t="b">
        <v>0</v>
      </c>
    </row>
    <row r="287" spans="1:7" ht="15">
      <c r="A287" s="84" t="s">
        <v>1704</v>
      </c>
      <c r="B287" s="83">
        <v>3</v>
      </c>
      <c r="C287" s="110">
        <v>0.0014900669062303527</v>
      </c>
      <c r="D287" s="83" t="s">
        <v>2059</v>
      </c>
      <c r="E287" s="83" t="b">
        <v>0</v>
      </c>
      <c r="F287" s="83" t="b">
        <v>0</v>
      </c>
      <c r="G287" s="83" t="b">
        <v>0</v>
      </c>
    </row>
    <row r="288" spans="1:7" ht="15">
      <c r="A288" s="84" t="s">
        <v>1705</v>
      </c>
      <c r="B288" s="83">
        <v>3</v>
      </c>
      <c r="C288" s="110">
        <v>0.0014900669062303527</v>
      </c>
      <c r="D288" s="83" t="s">
        <v>2059</v>
      </c>
      <c r="E288" s="83" t="b">
        <v>0</v>
      </c>
      <c r="F288" s="83" t="b">
        <v>0</v>
      </c>
      <c r="G288" s="83" t="b">
        <v>0</v>
      </c>
    </row>
    <row r="289" spans="1:7" ht="15">
      <c r="A289" s="84" t="s">
        <v>1706</v>
      </c>
      <c r="B289" s="83">
        <v>3</v>
      </c>
      <c r="C289" s="110">
        <v>0.0016218388636179914</v>
      </c>
      <c r="D289" s="83" t="s">
        <v>2059</v>
      </c>
      <c r="E289" s="83" t="b">
        <v>0</v>
      </c>
      <c r="F289" s="83" t="b">
        <v>0</v>
      </c>
      <c r="G289" s="83" t="b">
        <v>0</v>
      </c>
    </row>
    <row r="290" spans="1:7" ht="15">
      <c r="A290" s="84" t="s">
        <v>1707</v>
      </c>
      <c r="B290" s="83">
        <v>3</v>
      </c>
      <c r="C290" s="110">
        <v>0.0016218388636179914</v>
      </c>
      <c r="D290" s="83" t="s">
        <v>2059</v>
      </c>
      <c r="E290" s="83" t="b">
        <v>0</v>
      </c>
      <c r="F290" s="83" t="b">
        <v>0</v>
      </c>
      <c r="G290" s="83" t="b">
        <v>0</v>
      </c>
    </row>
    <row r="291" spans="1:7" ht="15">
      <c r="A291" s="84" t="s">
        <v>1708</v>
      </c>
      <c r="B291" s="83">
        <v>3</v>
      </c>
      <c r="C291" s="110">
        <v>0.0014900669062303527</v>
      </c>
      <c r="D291" s="83" t="s">
        <v>2059</v>
      </c>
      <c r="E291" s="83" t="b">
        <v>0</v>
      </c>
      <c r="F291" s="83" t="b">
        <v>0</v>
      </c>
      <c r="G291" s="83" t="b">
        <v>0</v>
      </c>
    </row>
    <row r="292" spans="1:7" ht="15">
      <c r="A292" s="84" t="s">
        <v>1709</v>
      </c>
      <c r="B292" s="83">
        <v>3</v>
      </c>
      <c r="C292" s="110">
        <v>0.0014900669062303527</v>
      </c>
      <c r="D292" s="83" t="s">
        <v>2059</v>
      </c>
      <c r="E292" s="83" t="b">
        <v>0</v>
      </c>
      <c r="F292" s="83" t="b">
        <v>0</v>
      </c>
      <c r="G292" s="83" t="b">
        <v>0</v>
      </c>
    </row>
    <row r="293" spans="1:7" ht="15">
      <c r="A293" s="84" t="s">
        <v>1710</v>
      </c>
      <c r="B293" s="83">
        <v>3</v>
      </c>
      <c r="C293" s="110">
        <v>0.0014900669062303527</v>
      </c>
      <c r="D293" s="83" t="s">
        <v>2059</v>
      </c>
      <c r="E293" s="83" t="b">
        <v>0</v>
      </c>
      <c r="F293" s="83" t="b">
        <v>0</v>
      </c>
      <c r="G293" s="83" t="b">
        <v>0</v>
      </c>
    </row>
    <row r="294" spans="1:7" ht="15">
      <c r="A294" s="84" t="s">
        <v>1711</v>
      </c>
      <c r="B294" s="83">
        <v>3</v>
      </c>
      <c r="C294" s="110">
        <v>0.0014900669062303527</v>
      </c>
      <c r="D294" s="83" t="s">
        <v>2059</v>
      </c>
      <c r="E294" s="83" t="b">
        <v>0</v>
      </c>
      <c r="F294" s="83" t="b">
        <v>0</v>
      </c>
      <c r="G294" s="83" t="b">
        <v>0</v>
      </c>
    </row>
    <row r="295" spans="1:7" ht="15">
      <c r="A295" s="84" t="s">
        <v>1712</v>
      </c>
      <c r="B295" s="83">
        <v>3</v>
      </c>
      <c r="C295" s="110">
        <v>0.0016218388636179914</v>
      </c>
      <c r="D295" s="83" t="s">
        <v>2059</v>
      </c>
      <c r="E295" s="83" t="b">
        <v>0</v>
      </c>
      <c r="F295" s="83" t="b">
        <v>0</v>
      </c>
      <c r="G295" s="83" t="b">
        <v>0</v>
      </c>
    </row>
    <row r="296" spans="1:7" ht="15">
      <c r="A296" s="84" t="s">
        <v>1713</v>
      </c>
      <c r="B296" s="83">
        <v>3</v>
      </c>
      <c r="C296" s="110">
        <v>0.0016218388636179914</v>
      </c>
      <c r="D296" s="83" t="s">
        <v>2059</v>
      </c>
      <c r="E296" s="83" t="b">
        <v>0</v>
      </c>
      <c r="F296" s="83" t="b">
        <v>0</v>
      </c>
      <c r="G296" s="83" t="b">
        <v>0</v>
      </c>
    </row>
    <row r="297" spans="1:7" ht="15">
      <c r="A297" s="84" t="s">
        <v>1714</v>
      </c>
      <c r="B297" s="83">
        <v>3</v>
      </c>
      <c r="C297" s="110">
        <v>0.0014900669062303527</v>
      </c>
      <c r="D297" s="83" t="s">
        <v>2059</v>
      </c>
      <c r="E297" s="83" t="b">
        <v>0</v>
      </c>
      <c r="F297" s="83" t="b">
        <v>0</v>
      </c>
      <c r="G297" s="83" t="b">
        <v>0</v>
      </c>
    </row>
    <row r="298" spans="1:7" ht="15">
      <c r="A298" s="84" t="s">
        <v>1715</v>
      </c>
      <c r="B298" s="83">
        <v>3</v>
      </c>
      <c r="C298" s="110">
        <v>0.0014900669062303527</v>
      </c>
      <c r="D298" s="83" t="s">
        <v>2059</v>
      </c>
      <c r="E298" s="83" t="b">
        <v>0</v>
      </c>
      <c r="F298" s="83" t="b">
        <v>0</v>
      </c>
      <c r="G298" s="83" t="b">
        <v>0</v>
      </c>
    </row>
    <row r="299" spans="1:7" ht="15">
      <c r="A299" s="84" t="s">
        <v>1716</v>
      </c>
      <c r="B299" s="83">
        <v>3</v>
      </c>
      <c r="C299" s="110">
        <v>0.0014900669062303527</v>
      </c>
      <c r="D299" s="83" t="s">
        <v>2059</v>
      </c>
      <c r="E299" s="83" t="b">
        <v>0</v>
      </c>
      <c r="F299" s="83" t="b">
        <v>0</v>
      </c>
      <c r="G299" s="83" t="b">
        <v>0</v>
      </c>
    </row>
    <row r="300" spans="1:7" ht="15">
      <c r="A300" s="84" t="s">
        <v>1717</v>
      </c>
      <c r="B300" s="83">
        <v>3</v>
      </c>
      <c r="C300" s="110">
        <v>0.0014900669062303527</v>
      </c>
      <c r="D300" s="83" t="s">
        <v>2059</v>
      </c>
      <c r="E300" s="83" t="b">
        <v>0</v>
      </c>
      <c r="F300" s="83" t="b">
        <v>0</v>
      </c>
      <c r="G300" s="83" t="b">
        <v>0</v>
      </c>
    </row>
    <row r="301" spans="1:7" ht="15">
      <c r="A301" s="84" t="s">
        <v>1718</v>
      </c>
      <c r="B301" s="83">
        <v>3</v>
      </c>
      <c r="C301" s="110">
        <v>0.0014900669062303527</v>
      </c>
      <c r="D301" s="83" t="s">
        <v>2059</v>
      </c>
      <c r="E301" s="83" t="b">
        <v>0</v>
      </c>
      <c r="F301" s="83" t="b">
        <v>0</v>
      </c>
      <c r="G301" s="83" t="b">
        <v>0</v>
      </c>
    </row>
    <row r="302" spans="1:7" ht="15">
      <c r="A302" s="84" t="s">
        <v>1719</v>
      </c>
      <c r="B302" s="83">
        <v>3</v>
      </c>
      <c r="C302" s="110">
        <v>0.0018471045126556426</v>
      </c>
      <c r="D302" s="83" t="s">
        <v>2059</v>
      </c>
      <c r="E302" s="83" t="b">
        <v>0</v>
      </c>
      <c r="F302" s="83" t="b">
        <v>0</v>
      </c>
      <c r="G302" s="83" t="b">
        <v>0</v>
      </c>
    </row>
    <row r="303" spans="1:7" ht="15">
      <c r="A303" s="84" t="s">
        <v>1720</v>
      </c>
      <c r="B303" s="83">
        <v>3</v>
      </c>
      <c r="C303" s="110">
        <v>0.0016218388636179914</v>
      </c>
      <c r="D303" s="83" t="s">
        <v>2059</v>
      </c>
      <c r="E303" s="83" t="b">
        <v>0</v>
      </c>
      <c r="F303" s="83" t="b">
        <v>0</v>
      </c>
      <c r="G303" s="83" t="b">
        <v>0</v>
      </c>
    </row>
    <row r="304" spans="1:7" ht="15">
      <c r="A304" s="84" t="s">
        <v>1721</v>
      </c>
      <c r="B304" s="83">
        <v>3</v>
      </c>
      <c r="C304" s="110">
        <v>0.0014900669062303527</v>
      </c>
      <c r="D304" s="83" t="s">
        <v>2059</v>
      </c>
      <c r="E304" s="83" t="b">
        <v>0</v>
      </c>
      <c r="F304" s="83" t="b">
        <v>0</v>
      </c>
      <c r="G304" s="83" t="b">
        <v>0</v>
      </c>
    </row>
    <row r="305" spans="1:7" ht="15">
      <c r="A305" s="84" t="s">
        <v>1722</v>
      </c>
      <c r="B305" s="83">
        <v>3</v>
      </c>
      <c r="C305" s="110">
        <v>0.0016218388636179914</v>
      </c>
      <c r="D305" s="83" t="s">
        <v>2059</v>
      </c>
      <c r="E305" s="83" t="b">
        <v>0</v>
      </c>
      <c r="F305" s="83" t="b">
        <v>0</v>
      </c>
      <c r="G305" s="83" t="b">
        <v>0</v>
      </c>
    </row>
    <row r="306" spans="1:7" ht="15">
      <c r="A306" s="84" t="s">
        <v>1723</v>
      </c>
      <c r="B306" s="83">
        <v>3</v>
      </c>
      <c r="C306" s="110">
        <v>0.0014900669062303527</v>
      </c>
      <c r="D306" s="83" t="s">
        <v>2059</v>
      </c>
      <c r="E306" s="83" t="b">
        <v>0</v>
      </c>
      <c r="F306" s="83" t="b">
        <v>0</v>
      </c>
      <c r="G306" s="83" t="b">
        <v>0</v>
      </c>
    </row>
    <row r="307" spans="1:7" ht="15">
      <c r="A307" s="84" t="s">
        <v>1724</v>
      </c>
      <c r="B307" s="83">
        <v>3</v>
      </c>
      <c r="C307" s="110">
        <v>0.0016218388636179914</v>
      </c>
      <c r="D307" s="83" t="s">
        <v>2059</v>
      </c>
      <c r="E307" s="83" t="b">
        <v>0</v>
      </c>
      <c r="F307" s="83" t="b">
        <v>0</v>
      </c>
      <c r="G307" s="83" t="b">
        <v>0</v>
      </c>
    </row>
    <row r="308" spans="1:7" ht="15">
      <c r="A308" s="84" t="s">
        <v>1725</v>
      </c>
      <c r="B308" s="83">
        <v>3</v>
      </c>
      <c r="C308" s="110">
        <v>0.0016218388636179914</v>
      </c>
      <c r="D308" s="83" t="s">
        <v>2059</v>
      </c>
      <c r="E308" s="83" t="b">
        <v>0</v>
      </c>
      <c r="F308" s="83" t="b">
        <v>0</v>
      </c>
      <c r="G308" s="83" t="b">
        <v>0</v>
      </c>
    </row>
    <row r="309" spans="1:7" ht="15">
      <c r="A309" s="84" t="s">
        <v>1726</v>
      </c>
      <c r="B309" s="83">
        <v>3</v>
      </c>
      <c r="C309" s="110">
        <v>0.0014900669062303527</v>
      </c>
      <c r="D309" s="83" t="s">
        <v>2059</v>
      </c>
      <c r="E309" s="83" t="b">
        <v>0</v>
      </c>
      <c r="F309" s="83" t="b">
        <v>0</v>
      </c>
      <c r="G309" s="83" t="b">
        <v>0</v>
      </c>
    </row>
    <row r="310" spans="1:7" ht="15">
      <c r="A310" s="84" t="s">
        <v>1727</v>
      </c>
      <c r="B310" s="83">
        <v>3</v>
      </c>
      <c r="C310" s="110">
        <v>0.0014900669062303527</v>
      </c>
      <c r="D310" s="83" t="s">
        <v>2059</v>
      </c>
      <c r="E310" s="83" t="b">
        <v>0</v>
      </c>
      <c r="F310" s="83" t="b">
        <v>0</v>
      </c>
      <c r="G310" s="83" t="b">
        <v>0</v>
      </c>
    </row>
    <row r="311" spans="1:7" ht="15">
      <c r="A311" s="84" t="s">
        <v>1728</v>
      </c>
      <c r="B311" s="83">
        <v>3</v>
      </c>
      <c r="C311" s="110">
        <v>0.0014900669062303527</v>
      </c>
      <c r="D311" s="83" t="s">
        <v>2059</v>
      </c>
      <c r="E311" s="83" t="b">
        <v>1</v>
      </c>
      <c r="F311" s="83" t="b">
        <v>0</v>
      </c>
      <c r="G311" s="83" t="b">
        <v>0</v>
      </c>
    </row>
    <row r="312" spans="1:7" ht="15">
      <c r="A312" s="84" t="s">
        <v>1729</v>
      </c>
      <c r="B312" s="83">
        <v>3</v>
      </c>
      <c r="C312" s="110">
        <v>0.0014900669062303527</v>
      </c>
      <c r="D312" s="83" t="s">
        <v>2059</v>
      </c>
      <c r="E312" s="83" t="b">
        <v>0</v>
      </c>
      <c r="F312" s="83" t="b">
        <v>0</v>
      </c>
      <c r="G312" s="83" t="b">
        <v>0</v>
      </c>
    </row>
    <row r="313" spans="1:7" ht="15">
      <c r="A313" s="84" t="s">
        <v>1730</v>
      </c>
      <c r="B313" s="83">
        <v>3</v>
      </c>
      <c r="C313" s="110">
        <v>0.0014900669062303527</v>
      </c>
      <c r="D313" s="83" t="s">
        <v>2059</v>
      </c>
      <c r="E313" s="83" t="b">
        <v>0</v>
      </c>
      <c r="F313" s="83" t="b">
        <v>0</v>
      </c>
      <c r="G313" s="83" t="b">
        <v>0</v>
      </c>
    </row>
    <row r="314" spans="1:7" ht="15">
      <c r="A314" s="84" t="s">
        <v>1731</v>
      </c>
      <c r="B314" s="83">
        <v>3</v>
      </c>
      <c r="C314" s="110">
        <v>0.0014900669062303527</v>
      </c>
      <c r="D314" s="83" t="s">
        <v>2059</v>
      </c>
      <c r="E314" s="83" t="b">
        <v>0</v>
      </c>
      <c r="F314" s="83" t="b">
        <v>0</v>
      </c>
      <c r="G314" s="83" t="b">
        <v>0</v>
      </c>
    </row>
    <row r="315" spans="1:7" ht="15">
      <c r="A315" s="84" t="s">
        <v>1732</v>
      </c>
      <c r="B315" s="83">
        <v>3</v>
      </c>
      <c r="C315" s="110">
        <v>0.0014900669062303527</v>
      </c>
      <c r="D315" s="83" t="s">
        <v>2059</v>
      </c>
      <c r="E315" s="83" t="b">
        <v>0</v>
      </c>
      <c r="F315" s="83" t="b">
        <v>0</v>
      </c>
      <c r="G315" s="83" t="b">
        <v>0</v>
      </c>
    </row>
    <row r="316" spans="1:7" ht="15">
      <c r="A316" s="84" t="s">
        <v>1733</v>
      </c>
      <c r="B316" s="83">
        <v>3</v>
      </c>
      <c r="C316" s="110">
        <v>0.0016218388636179914</v>
      </c>
      <c r="D316" s="83" t="s">
        <v>2059</v>
      </c>
      <c r="E316" s="83" t="b">
        <v>0</v>
      </c>
      <c r="F316" s="83" t="b">
        <v>0</v>
      </c>
      <c r="G316" s="83" t="b">
        <v>0</v>
      </c>
    </row>
    <row r="317" spans="1:7" ht="15">
      <c r="A317" s="84" t="s">
        <v>1734</v>
      </c>
      <c r="B317" s="83">
        <v>3</v>
      </c>
      <c r="C317" s="110">
        <v>0.0018471045126556426</v>
      </c>
      <c r="D317" s="83" t="s">
        <v>2059</v>
      </c>
      <c r="E317" s="83" t="b">
        <v>0</v>
      </c>
      <c r="F317" s="83" t="b">
        <v>0</v>
      </c>
      <c r="G317" s="83" t="b">
        <v>0</v>
      </c>
    </row>
    <row r="318" spans="1:7" ht="15">
      <c r="A318" s="84" t="s">
        <v>1735</v>
      </c>
      <c r="B318" s="83">
        <v>3</v>
      </c>
      <c r="C318" s="110">
        <v>0.0014900669062303527</v>
      </c>
      <c r="D318" s="83" t="s">
        <v>2059</v>
      </c>
      <c r="E318" s="83" t="b">
        <v>0</v>
      </c>
      <c r="F318" s="83" t="b">
        <v>0</v>
      </c>
      <c r="G318" s="83" t="b">
        <v>0</v>
      </c>
    </row>
    <row r="319" spans="1:7" ht="15">
      <c r="A319" s="84" t="s">
        <v>1736</v>
      </c>
      <c r="B319" s="83">
        <v>3</v>
      </c>
      <c r="C319" s="110">
        <v>0.0014900669062303527</v>
      </c>
      <c r="D319" s="83" t="s">
        <v>2059</v>
      </c>
      <c r="E319" s="83" t="b">
        <v>0</v>
      </c>
      <c r="F319" s="83" t="b">
        <v>0</v>
      </c>
      <c r="G319" s="83" t="b">
        <v>0</v>
      </c>
    </row>
    <row r="320" spans="1:7" ht="15">
      <c r="A320" s="84" t="s">
        <v>1737</v>
      </c>
      <c r="B320" s="83">
        <v>3</v>
      </c>
      <c r="C320" s="110">
        <v>0.0014900669062303527</v>
      </c>
      <c r="D320" s="83" t="s">
        <v>2059</v>
      </c>
      <c r="E320" s="83" t="b">
        <v>0</v>
      </c>
      <c r="F320" s="83" t="b">
        <v>0</v>
      </c>
      <c r="G320" s="83" t="b">
        <v>0</v>
      </c>
    </row>
    <row r="321" spans="1:7" ht="15">
      <c r="A321" s="84" t="s">
        <v>1738</v>
      </c>
      <c r="B321" s="83">
        <v>3</v>
      </c>
      <c r="C321" s="110">
        <v>0.0016218388636179914</v>
      </c>
      <c r="D321" s="83" t="s">
        <v>2059</v>
      </c>
      <c r="E321" s="83" t="b">
        <v>0</v>
      </c>
      <c r="F321" s="83" t="b">
        <v>0</v>
      </c>
      <c r="G321" s="83" t="b">
        <v>0</v>
      </c>
    </row>
    <row r="322" spans="1:7" ht="15">
      <c r="A322" s="84" t="s">
        <v>1739</v>
      </c>
      <c r="B322" s="83">
        <v>3</v>
      </c>
      <c r="C322" s="110">
        <v>0.0014900669062303527</v>
      </c>
      <c r="D322" s="83" t="s">
        <v>2059</v>
      </c>
      <c r="E322" s="83" t="b">
        <v>0</v>
      </c>
      <c r="F322" s="83" t="b">
        <v>0</v>
      </c>
      <c r="G322" s="83" t="b">
        <v>0</v>
      </c>
    </row>
    <row r="323" spans="1:7" ht="15">
      <c r="A323" s="84" t="s">
        <v>1740</v>
      </c>
      <c r="B323" s="83">
        <v>3</v>
      </c>
      <c r="C323" s="110">
        <v>0.0014900669062303527</v>
      </c>
      <c r="D323" s="83" t="s">
        <v>2059</v>
      </c>
      <c r="E323" s="83" t="b">
        <v>0</v>
      </c>
      <c r="F323" s="83" t="b">
        <v>0</v>
      </c>
      <c r="G323" s="83" t="b">
        <v>0</v>
      </c>
    </row>
    <row r="324" spans="1:7" ht="15">
      <c r="A324" s="84" t="s">
        <v>1741</v>
      </c>
      <c r="B324" s="83">
        <v>3</v>
      </c>
      <c r="C324" s="110">
        <v>0.0016218388636179914</v>
      </c>
      <c r="D324" s="83" t="s">
        <v>2059</v>
      </c>
      <c r="E324" s="83" t="b">
        <v>0</v>
      </c>
      <c r="F324" s="83" t="b">
        <v>0</v>
      </c>
      <c r="G324" s="83" t="b">
        <v>0</v>
      </c>
    </row>
    <row r="325" spans="1:7" ht="15">
      <c r="A325" s="84" t="s">
        <v>1742</v>
      </c>
      <c r="B325" s="83">
        <v>3</v>
      </c>
      <c r="C325" s="110">
        <v>0.0014900669062303527</v>
      </c>
      <c r="D325" s="83" t="s">
        <v>2059</v>
      </c>
      <c r="E325" s="83" t="b">
        <v>0</v>
      </c>
      <c r="F325" s="83" t="b">
        <v>0</v>
      </c>
      <c r="G325" s="83" t="b">
        <v>0</v>
      </c>
    </row>
    <row r="326" spans="1:7" ht="15">
      <c r="A326" s="84" t="s">
        <v>1743</v>
      </c>
      <c r="B326" s="83">
        <v>3</v>
      </c>
      <c r="C326" s="110">
        <v>0.0014900669062303527</v>
      </c>
      <c r="D326" s="83" t="s">
        <v>2059</v>
      </c>
      <c r="E326" s="83" t="b">
        <v>0</v>
      </c>
      <c r="F326" s="83" t="b">
        <v>0</v>
      </c>
      <c r="G326" s="83" t="b">
        <v>0</v>
      </c>
    </row>
    <row r="327" spans="1:7" ht="15">
      <c r="A327" s="84" t="s">
        <v>1744</v>
      </c>
      <c r="B327" s="83">
        <v>3</v>
      </c>
      <c r="C327" s="110">
        <v>0.0014900669062303527</v>
      </c>
      <c r="D327" s="83" t="s">
        <v>2059</v>
      </c>
      <c r="E327" s="83" t="b">
        <v>0</v>
      </c>
      <c r="F327" s="83" t="b">
        <v>0</v>
      </c>
      <c r="G327" s="83" t="b">
        <v>0</v>
      </c>
    </row>
    <row r="328" spans="1:7" ht="15">
      <c r="A328" s="84" t="s">
        <v>1745</v>
      </c>
      <c r="B328" s="83">
        <v>3</v>
      </c>
      <c r="C328" s="110">
        <v>0.0014900669062303527</v>
      </c>
      <c r="D328" s="83" t="s">
        <v>2059</v>
      </c>
      <c r="E328" s="83" t="b">
        <v>0</v>
      </c>
      <c r="F328" s="83" t="b">
        <v>0</v>
      </c>
      <c r="G328" s="83" t="b">
        <v>0</v>
      </c>
    </row>
    <row r="329" spans="1:7" ht="15">
      <c r="A329" s="84" t="s">
        <v>1746</v>
      </c>
      <c r="B329" s="83">
        <v>3</v>
      </c>
      <c r="C329" s="110">
        <v>0.0014900669062303527</v>
      </c>
      <c r="D329" s="83" t="s">
        <v>2059</v>
      </c>
      <c r="E329" s="83" t="b">
        <v>0</v>
      </c>
      <c r="F329" s="83" t="b">
        <v>0</v>
      </c>
      <c r="G329" s="83" t="b">
        <v>0</v>
      </c>
    </row>
    <row r="330" spans="1:7" ht="15">
      <c r="A330" s="84" t="s">
        <v>1747</v>
      </c>
      <c r="B330" s="83">
        <v>3</v>
      </c>
      <c r="C330" s="110">
        <v>0.0014900669062303527</v>
      </c>
      <c r="D330" s="83" t="s">
        <v>2059</v>
      </c>
      <c r="E330" s="83" t="b">
        <v>0</v>
      </c>
      <c r="F330" s="83" t="b">
        <v>0</v>
      </c>
      <c r="G330" s="83" t="b">
        <v>0</v>
      </c>
    </row>
    <row r="331" spans="1:7" ht="15">
      <c r="A331" s="84" t="s">
        <v>1748</v>
      </c>
      <c r="B331" s="83">
        <v>3</v>
      </c>
      <c r="C331" s="110">
        <v>0.0016218388636179914</v>
      </c>
      <c r="D331" s="83" t="s">
        <v>2059</v>
      </c>
      <c r="E331" s="83" t="b">
        <v>0</v>
      </c>
      <c r="F331" s="83" t="b">
        <v>0</v>
      </c>
      <c r="G331" s="83" t="b">
        <v>0</v>
      </c>
    </row>
    <row r="332" spans="1:7" ht="15">
      <c r="A332" s="84" t="s">
        <v>1749</v>
      </c>
      <c r="B332" s="83">
        <v>3</v>
      </c>
      <c r="C332" s="110">
        <v>0.0016218388636179914</v>
      </c>
      <c r="D332" s="83" t="s">
        <v>2059</v>
      </c>
      <c r="E332" s="83" t="b">
        <v>0</v>
      </c>
      <c r="F332" s="83" t="b">
        <v>0</v>
      </c>
      <c r="G332" s="83" t="b">
        <v>0</v>
      </c>
    </row>
    <row r="333" spans="1:7" ht="15">
      <c r="A333" s="84" t="s">
        <v>1750</v>
      </c>
      <c r="B333" s="83">
        <v>3</v>
      </c>
      <c r="C333" s="110">
        <v>0.0018471045126556426</v>
      </c>
      <c r="D333" s="83" t="s">
        <v>2059</v>
      </c>
      <c r="E333" s="83" t="b">
        <v>0</v>
      </c>
      <c r="F333" s="83" t="b">
        <v>0</v>
      </c>
      <c r="G333" s="83" t="b">
        <v>0</v>
      </c>
    </row>
    <row r="334" spans="1:7" ht="15">
      <c r="A334" s="84" t="s">
        <v>1751</v>
      </c>
      <c r="B334" s="83">
        <v>3</v>
      </c>
      <c r="C334" s="110">
        <v>0.0018471045126556426</v>
      </c>
      <c r="D334" s="83" t="s">
        <v>2059</v>
      </c>
      <c r="E334" s="83" t="b">
        <v>0</v>
      </c>
      <c r="F334" s="83" t="b">
        <v>0</v>
      </c>
      <c r="G334" s="83" t="b">
        <v>0</v>
      </c>
    </row>
    <row r="335" spans="1:7" ht="15">
      <c r="A335" s="84" t="s">
        <v>1752</v>
      </c>
      <c r="B335" s="83">
        <v>3</v>
      </c>
      <c r="C335" s="110">
        <v>0.0014900669062303527</v>
      </c>
      <c r="D335" s="83" t="s">
        <v>2059</v>
      </c>
      <c r="E335" s="83" t="b">
        <v>0</v>
      </c>
      <c r="F335" s="83" t="b">
        <v>0</v>
      </c>
      <c r="G335" s="83" t="b">
        <v>0</v>
      </c>
    </row>
    <row r="336" spans="1:7" ht="15">
      <c r="A336" s="84" t="s">
        <v>1753</v>
      </c>
      <c r="B336" s="83">
        <v>3</v>
      </c>
      <c r="C336" s="110">
        <v>0.0016218388636179914</v>
      </c>
      <c r="D336" s="83" t="s">
        <v>2059</v>
      </c>
      <c r="E336" s="83" t="b">
        <v>0</v>
      </c>
      <c r="F336" s="83" t="b">
        <v>0</v>
      </c>
      <c r="G336" s="83" t="b">
        <v>0</v>
      </c>
    </row>
    <row r="337" spans="1:7" ht="15">
      <c r="A337" s="84" t="s">
        <v>1754</v>
      </c>
      <c r="B337" s="83">
        <v>3</v>
      </c>
      <c r="C337" s="110">
        <v>0.0014900669062303527</v>
      </c>
      <c r="D337" s="83" t="s">
        <v>2059</v>
      </c>
      <c r="E337" s="83" t="b">
        <v>1</v>
      </c>
      <c r="F337" s="83" t="b">
        <v>0</v>
      </c>
      <c r="G337" s="83" t="b">
        <v>0</v>
      </c>
    </row>
    <row r="338" spans="1:7" ht="15">
      <c r="A338" s="84" t="s">
        <v>1755</v>
      </c>
      <c r="B338" s="83">
        <v>3</v>
      </c>
      <c r="C338" s="110">
        <v>0.0014900669062303527</v>
      </c>
      <c r="D338" s="83" t="s">
        <v>2059</v>
      </c>
      <c r="E338" s="83" t="b">
        <v>0</v>
      </c>
      <c r="F338" s="83" t="b">
        <v>0</v>
      </c>
      <c r="G338" s="83" t="b">
        <v>0</v>
      </c>
    </row>
    <row r="339" spans="1:7" ht="15">
      <c r="A339" s="84" t="s">
        <v>1756</v>
      </c>
      <c r="B339" s="83">
        <v>3</v>
      </c>
      <c r="C339" s="110">
        <v>0.0016218388636179914</v>
      </c>
      <c r="D339" s="83" t="s">
        <v>2059</v>
      </c>
      <c r="E339" s="83" t="b">
        <v>0</v>
      </c>
      <c r="F339" s="83" t="b">
        <v>0</v>
      </c>
      <c r="G339" s="83" t="b">
        <v>0</v>
      </c>
    </row>
    <row r="340" spans="1:7" ht="15">
      <c r="A340" s="84" t="s">
        <v>1757</v>
      </c>
      <c r="B340" s="83">
        <v>3</v>
      </c>
      <c r="C340" s="110">
        <v>0.0018471045126556426</v>
      </c>
      <c r="D340" s="83" t="s">
        <v>2059</v>
      </c>
      <c r="E340" s="83" t="b">
        <v>0</v>
      </c>
      <c r="F340" s="83" t="b">
        <v>0</v>
      </c>
      <c r="G340" s="83" t="b">
        <v>0</v>
      </c>
    </row>
    <row r="341" spans="1:7" ht="15">
      <c r="A341" s="84" t="s">
        <v>1758</v>
      </c>
      <c r="B341" s="83">
        <v>3</v>
      </c>
      <c r="C341" s="110">
        <v>0.0018471045126556426</v>
      </c>
      <c r="D341" s="83" t="s">
        <v>2059</v>
      </c>
      <c r="E341" s="83" t="b">
        <v>0</v>
      </c>
      <c r="F341" s="83" t="b">
        <v>0</v>
      </c>
      <c r="G341" s="83" t="b">
        <v>0</v>
      </c>
    </row>
    <row r="342" spans="1:7" ht="15">
      <c r="A342" s="84" t="s">
        <v>1759</v>
      </c>
      <c r="B342" s="83">
        <v>3</v>
      </c>
      <c r="C342" s="110">
        <v>0.0018471045126556426</v>
      </c>
      <c r="D342" s="83" t="s">
        <v>2059</v>
      </c>
      <c r="E342" s="83" t="b">
        <v>0</v>
      </c>
      <c r="F342" s="83" t="b">
        <v>0</v>
      </c>
      <c r="G342" s="83" t="b">
        <v>0</v>
      </c>
    </row>
    <row r="343" spans="1:7" ht="15">
      <c r="A343" s="84" t="s">
        <v>1760</v>
      </c>
      <c r="B343" s="83">
        <v>3</v>
      </c>
      <c r="C343" s="110">
        <v>0.0016218388636179914</v>
      </c>
      <c r="D343" s="83" t="s">
        <v>2059</v>
      </c>
      <c r="E343" s="83" t="b">
        <v>0</v>
      </c>
      <c r="F343" s="83" t="b">
        <v>0</v>
      </c>
      <c r="G343" s="83" t="b">
        <v>0</v>
      </c>
    </row>
    <row r="344" spans="1:7" ht="15">
      <c r="A344" s="84" t="s">
        <v>1761</v>
      </c>
      <c r="B344" s="83">
        <v>3</v>
      </c>
      <c r="C344" s="110">
        <v>0.0018471045126556426</v>
      </c>
      <c r="D344" s="83" t="s">
        <v>2059</v>
      </c>
      <c r="E344" s="83" t="b">
        <v>0</v>
      </c>
      <c r="F344" s="83" t="b">
        <v>0</v>
      </c>
      <c r="G344" s="83" t="b">
        <v>0</v>
      </c>
    </row>
    <row r="345" spans="1:7" ht="15">
      <c r="A345" s="84" t="s">
        <v>1762</v>
      </c>
      <c r="B345" s="83">
        <v>2</v>
      </c>
      <c r="C345" s="110">
        <v>0.0010812259090786612</v>
      </c>
      <c r="D345" s="83" t="s">
        <v>2059</v>
      </c>
      <c r="E345" s="83" t="b">
        <v>0</v>
      </c>
      <c r="F345" s="83" t="b">
        <v>0</v>
      </c>
      <c r="G345" s="83" t="b">
        <v>0</v>
      </c>
    </row>
    <row r="346" spans="1:7" ht="15">
      <c r="A346" s="84" t="s">
        <v>1763</v>
      </c>
      <c r="B346" s="83">
        <v>2</v>
      </c>
      <c r="C346" s="110">
        <v>0.0010812259090786612</v>
      </c>
      <c r="D346" s="83" t="s">
        <v>2059</v>
      </c>
      <c r="E346" s="83" t="b">
        <v>0</v>
      </c>
      <c r="F346" s="83" t="b">
        <v>0</v>
      </c>
      <c r="G346" s="83" t="b">
        <v>0</v>
      </c>
    </row>
    <row r="347" spans="1:7" ht="15">
      <c r="A347" s="84" t="s">
        <v>1764</v>
      </c>
      <c r="B347" s="83">
        <v>2</v>
      </c>
      <c r="C347" s="110">
        <v>0.0010812259090786612</v>
      </c>
      <c r="D347" s="83" t="s">
        <v>2059</v>
      </c>
      <c r="E347" s="83" t="b">
        <v>0</v>
      </c>
      <c r="F347" s="83" t="b">
        <v>0</v>
      </c>
      <c r="G347" s="83" t="b">
        <v>0</v>
      </c>
    </row>
    <row r="348" spans="1:7" ht="15">
      <c r="A348" s="84" t="s">
        <v>1765</v>
      </c>
      <c r="B348" s="83">
        <v>2</v>
      </c>
      <c r="C348" s="110">
        <v>0.0010812259090786612</v>
      </c>
      <c r="D348" s="83" t="s">
        <v>2059</v>
      </c>
      <c r="E348" s="83" t="b">
        <v>0</v>
      </c>
      <c r="F348" s="83" t="b">
        <v>0</v>
      </c>
      <c r="G348" s="83" t="b">
        <v>0</v>
      </c>
    </row>
    <row r="349" spans="1:7" ht="15">
      <c r="A349" s="84" t="s">
        <v>1766</v>
      </c>
      <c r="B349" s="83">
        <v>2</v>
      </c>
      <c r="C349" s="110">
        <v>0.0010812259090786612</v>
      </c>
      <c r="D349" s="83" t="s">
        <v>2059</v>
      </c>
      <c r="E349" s="83" t="b">
        <v>0</v>
      </c>
      <c r="F349" s="83" t="b">
        <v>0</v>
      </c>
      <c r="G349" s="83" t="b">
        <v>0</v>
      </c>
    </row>
    <row r="350" spans="1:7" ht="15">
      <c r="A350" s="84" t="s">
        <v>1767</v>
      </c>
      <c r="B350" s="83">
        <v>2</v>
      </c>
      <c r="C350" s="110">
        <v>0.0010812259090786612</v>
      </c>
      <c r="D350" s="83" t="s">
        <v>2059</v>
      </c>
      <c r="E350" s="83" t="b">
        <v>0</v>
      </c>
      <c r="F350" s="83" t="b">
        <v>0</v>
      </c>
      <c r="G350" s="83" t="b">
        <v>0</v>
      </c>
    </row>
    <row r="351" spans="1:7" ht="15">
      <c r="A351" s="84" t="s">
        <v>1768</v>
      </c>
      <c r="B351" s="83">
        <v>2</v>
      </c>
      <c r="C351" s="110">
        <v>0.0010812259090786612</v>
      </c>
      <c r="D351" s="83" t="s">
        <v>2059</v>
      </c>
      <c r="E351" s="83" t="b">
        <v>0</v>
      </c>
      <c r="F351" s="83" t="b">
        <v>0</v>
      </c>
      <c r="G351" s="83" t="b">
        <v>0</v>
      </c>
    </row>
    <row r="352" spans="1:7" ht="15">
      <c r="A352" s="84" t="s">
        <v>1769</v>
      </c>
      <c r="B352" s="83">
        <v>2</v>
      </c>
      <c r="C352" s="110">
        <v>0.0010812259090786612</v>
      </c>
      <c r="D352" s="83" t="s">
        <v>2059</v>
      </c>
      <c r="E352" s="83" t="b">
        <v>0</v>
      </c>
      <c r="F352" s="83" t="b">
        <v>0</v>
      </c>
      <c r="G352" s="83" t="b">
        <v>0</v>
      </c>
    </row>
    <row r="353" spans="1:7" ht="15">
      <c r="A353" s="84" t="s">
        <v>1770</v>
      </c>
      <c r="B353" s="83">
        <v>2</v>
      </c>
      <c r="C353" s="110">
        <v>0.0010812259090786612</v>
      </c>
      <c r="D353" s="83" t="s">
        <v>2059</v>
      </c>
      <c r="E353" s="83" t="b">
        <v>0</v>
      </c>
      <c r="F353" s="83" t="b">
        <v>0</v>
      </c>
      <c r="G353" s="83" t="b">
        <v>0</v>
      </c>
    </row>
    <row r="354" spans="1:7" ht="15">
      <c r="A354" s="84" t="s">
        <v>1771</v>
      </c>
      <c r="B354" s="83">
        <v>2</v>
      </c>
      <c r="C354" s="110">
        <v>0.0010812259090786612</v>
      </c>
      <c r="D354" s="83" t="s">
        <v>2059</v>
      </c>
      <c r="E354" s="83" t="b">
        <v>0</v>
      </c>
      <c r="F354" s="83" t="b">
        <v>0</v>
      </c>
      <c r="G354" s="83" t="b">
        <v>0</v>
      </c>
    </row>
    <row r="355" spans="1:7" ht="15">
      <c r="A355" s="84" t="s">
        <v>1772</v>
      </c>
      <c r="B355" s="83">
        <v>2</v>
      </c>
      <c r="C355" s="110">
        <v>0.0010812259090786612</v>
      </c>
      <c r="D355" s="83" t="s">
        <v>2059</v>
      </c>
      <c r="E355" s="83" t="b">
        <v>0</v>
      </c>
      <c r="F355" s="83" t="b">
        <v>0</v>
      </c>
      <c r="G355" s="83" t="b">
        <v>0</v>
      </c>
    </row>
    <row r="356" spans="1:7" ht="15">
      <c r="A356" s="84" t="s">
        <v>1773</v>
      </c>
      <c r="B356" s="83">
        <v>2</v>
      </c>
      <c r="C356" s="110">
        <v>0.0012314030084370953</v>
      </c>
      <c r="D356" s="83" t="s">
        <v>2059</v>
      </c>
      <c r="E356" s="83" t="b">
        <v>0</v>
      </c>
      <c r="F356" s="83" t="b">
        <v>0</v>
      </c>
      <c r="G356" s="83" t="b">
        <v>0</v>
      </c>
    </row>
    <row r="357" spans="1:7" ht="15">
      <c r="A357" s="84" t="s">
        <v>1774</v>
      </c>
      <c r="B357" s="83">
        <v>2</v>
      </c>
      <c r="C357" s="110">
        <v>0.0010812259090786612</v>
      </c>
      <c r="D357" s="83" t="s">
        <v>2059</v>
      </c>
      <c r="E357" s="83" t="b">
        <v>0</v>
      </c>
      <c r="F357" s="83" t="b">
        <v>0</v>
      </c>
      <c r="G357" s="83" t="b">
        <v>0</v>
      </c>
    </row>
    <row r="358" spans="1:7" ht="15">
      <c r="A358" s="84" t="s">
        <v>1775</v>
      </c>
      <c r="B358" s="83">
        <v>2</v>
      </c>
      <c r="C358" s="110">
        <v>0.0012314030084370953</v>
      </c>
      <c r="D358" s="83" t="s">
        <v>2059</v>
      </c>
      <c r="E358" s="83" t="b">
        <v>0</v>
      </c>
      <c r="F358" s="83" t="b">
        <v>0</v>
      </c>
      <c r="G358" s="83" t="b">
        <v>0</v>
      </c>
    </row>
    <row r="359" spans="1:7" ht="15">
      <c r="A359" s="84" t="s">
        <v>1776</v>
      </c>
      <c r="B359" s="83">
        <v>2</v>
      </c>
      <c r="C359" s="110">
        <v>0.0010812259090786612</v>
      </c>
      <c r="D359" s="83" t="s">
        <v>2059</v>
      </c>
      <c r="E359" s="83" t="b">
        <v>0</v>
      </c>
      <c r="F359" s="83" t="b">
        <v>0</v>
      </c>
      <c r="G359" s="83" t="b">
        <v>0</v>
      </c>
    </row>
    <row r="360" spans="1:7" ht="15">
      <c r="A360" s="84" t="s">
        <v>1777</v>
      </c>
      <c r="B360" s="83">
        <v>2</v>
      </c>
      <c r="C360" s="110">
        <v>0.0010812259090786612</v>
      </c>
      <c r="D360" s="83" t="s">
        <v>2059</v>
      </c>
      <c r="E360" s="83" t="b">
        <v>0</v>
      </c>
      <c r="F360" s="83" t="b">
        <v>0</v>
      </c>
      <c r="G360" s="83" t="b">
        <v>0</v>
      </c>
    </row>
    <row r="361" spans="1:7" ht="15">
      <c r="A361" s="84" t="s">
        <v>1778</v>
      </c>
      <c r="B361" s="83">
        <v>2</v>
      </c>
      <c r="C361" s="110">
        <v>0.0010812259090786612</v>
      </c>
      <c r="D361" s="83" t="s">
        <v>2059</v>
      </c>
      <c r="E361" s="83" t="b">
        <v>0</v>
      </c>
      <c r="F361" s="83" t="b">
        <v>0</v>
      </c>
      <c r="G361" s="83" t="b">
        <v>0</v>
      </c>
    </row>
    <row r="362" spans="1:7" ht="15">
      <c r="A362" s="84" t="s">
        <v>1779</v>
      </c>
      <c r="B362" s="83">
        <v>2</v>
      </c>
      <c r="C362" s="110">
        <v>0.0010812259090786612</v>
      </c>
      <c r="D362" s="83" t="s">
        <v>2059</v>
      </c>
      <c r="E362" s="83" t="b">
        <v>1</v>
      </c>
      <c r="F362" s="83" t="b">
        <v>0</v>
      </c>
      <c r="G362" s="83" t="b">
        <v>0</v>
      </c>
    </row>
    <row r="363" spans="1:7" ht="15">
      <c r="A363" s="84" t="s">
        <v>1780</v>
      </c>
      <c r="B363" s="83">
        <v>2</v>
      </c>
      <c r="C363" s="110">
        <v>0.0010812259090786612</v>
      </c>
      <c r="D363" s="83" t="s">
        <v>2059</v>
      </c>
      <c r="E363" s="83" t="b">
        <v>0</v>
      </c>
      <c r="F363" s="83" t="b">
        <v>0</v>
      </c>
      <c r="G363" s="83" t="b">
        <v>0</v>
      </c>
    </row>
    <row r="364" spans="1:7" ht="15">
      <c r="A364" s="84" t="s">
        <v>1781</v>
      </c>
      <c r="B364" s="83">
        <v>2</v>
      </c>
      <c r="C364" s="110">
        <v>0.0010812259090786612</v>
      </c>
      <c r="D364" s="83" t="s">
        <v>2059</v>
      </c>
      <c r="E364" s="83" t="b">
        <v>0</v>
      </c>
      <c r="F364" s="83" t="b">
        <v>0</v>
      </c>
      <c r="G364" s="83" t="b">
        <v>0</v>
      </c>
    </row>
    <row r="365" spans="1:7" ht="15">
      <c r="A365" s="84" t="s">
        <v>1782</v>
      </c>
      <c r="B365" s="83">
        <v>2</v>
      </c>
      <c r="C365" s="110">
        <v>0.0010812259090786612</v>
      </c>
      <c r="D365" s="83" t="s">
        <v>2059</v>
      </c>
      <c r="E365" s="83" t="b">
        <v>0</v>
      </c>
      <c r="F365" s="83" t="b">
        <v>0</v>
      </c>
      <c r="G365" s="83" t="b">
        <v>0</v>
      </c>
    </row>
    <row r="366" spans="1:7" ht="15">
      <c r="A366" s="84" t="s">
        <v>1783</v>
      </c>
      <c r="B366" s="83">
        <v>2</v>
      </c>
      <c r="C366" s="110">
        <v>0.0010812259090786612</v>
      </c>
      <c r="D366" s="83" t="s">
        <v>2059</v>
      </c>
      <c r="E366" s="83" t="b">
        <v>0</v>
      </c>
      <c r="F366" s="83" t="b">
        <v>0</v>
      </c>
      <c r="G366" s="83" t="b">
        <v>0</v>
      </c>
    </row>
    <row r="367" spans="1:7" ht="15">
      <c r="A367" s="84" t="s">
        <v>1784</v>
      </c>
      <c r="B367" s="83">
        <v>2</v>
      </c>
      <c r="C367" s="110">
        <v>0.0010812259090786612</v>
      </c>
      <c r="D367" s="83" t="s">
        <v>2059</v>
      </c>
      <c r="E367" s="83" t="b">
        <v>0</v>
      </c>
      <c r="F367" s="83" t="b">
        <v>0</v>
      </c>
      <c r="G367" s="83" t="b">
        <v>0</v>
      </c>
    </row>
    <row r="368" spans="1:7" ht="15">
      <c r="A368" s="84" t="s">
        <v>1785</v>
      </c>
      <c r="B368" s="83">
        <v>2</v>
      </c>
      <c r="C368" s="110">
        <v>0.0010812259090786612</v>
      </c>
      <c r="D368" s="83" t="s">
        <v>2059</v>
      </c>
      <c r="E368" s="83" t="b">
        <v>0</v>
      </c>
      <c r="F368" s="83" t="b">
        <v>0</v>
      </c>
      <c r="G368" s="83" t="b">
        <v>0</v>
      </c>
    </row>
    <row r="369" spans="1:7" ht="15">
      <c r="A369" s="84" t="s">
        <v>1786</v>
      </c>
      <c r="B369" s="83">
        <v>2</v>
      </c>
      <c r="C369" s="110">
        <v>0.0010812259090786612</v>
      </c>
      <c r="D369" s="83" t="s">
        <v>2059</v>
      </c>
      <c r="E369" s="83" t="b">
        <v>0</v>
      </c>
      <c r="F369" s="83" t="b">
        <v>0</v>
      </c>
      <c r="G369" s="83" t="b">
        <v>0</v>
      </c>
    </row>
    <row r="370" spans="1:7" ht="15">
      <c r="A370" s="84" t="s">
        <v>1787</v>
      </c>
      <c r="B370" s="83">
        <v>2</v>
      </c>
      <c r="C370" s="110">
        <v>0.0012314030084370953</v>
      </c>
      <c r="D370" s="83" t="s">
        <v>2059</v>
      </c>
      <c r="E370" s="83" t="b">
        <v>0</v>
      </c>
      <c r="F370" s="83" t="b">
        <v>0</v>
      </c>
      <c r="G370" s="83" t="b">
        <v>0</v>
      </c>
    </row>
    <row r="371" spans="1:7" ht="15">
      <c r="A371" s="84" t="s">
        <v>1788</v>
      </c>
      <c r="B371" s="83">
        <v>2</v>
      </c>
      <c r="C371" s="110">
        <v>0.0010812259090786612</v>
      </c>
      <c r="D371" s="83" t="s">
        <v>2059</v>
      </c>
      <c r="E371" s="83" t="b">
        <v>0</v>
      </c>
      <c r="F371" s="83" t="b">
        <v>0</v>
      </c>
      <c r="G371" s="83" t="b">
        <v>0</v>
      </c>
    </row>
    <row r="372" spans="1:7" ht="15">
      <c r="A372" s="84" t="s">
        <v>1789</v>
      </c>
      <c r="B372" s="83">
        <v>2</v>
      </c>
      <c r="C372" s="110">
        <v>0.0010812259090786612</v>
      </c>
      <c r="D372" s="83" t="s">
        <v>2059</v>
      </c>
      <c r="E372" s="83" t="b">
        <v>0</v>
      </c>
      <c r="F372" s="83" t="b">
        <v>0</v>
      </c>
      <c r="G372" s="83" t="b">
        <v>0</v>
      </c>
    </row>
    <row r="373" spans="1:7" ht="15">
      <c r="A373" s="84" t="s">
        <v>1790</v>
      </c>
      <c r="B373" s="83">
        <v>2</v>
      </c>
      <c r="C373" s="110">
        <v>0.0010812259090786612</v>
      </c>
      <c r="D373" s="83" t="s">
        <v>2059</v>
      </c>
      <c r="E373" s="83" t="b">
        <v>0</v>
      </c>
      <c r="F373" s="83" t="b">
        <v>0</v>
      </c>
      <c r="G373" s="83" t="b">
        <v>0</v>
      </c>
    </row>
    <row r="374" spans="1:7" ht="15">
      <c r="A374" s="84" t="s">
        <v>1791</v>
      </c>
      <c r="B374" s="83">
        <v>2</v>
      </c>
      <c r="C374" s="110">
        <v>0.0010812259090786612</v>
      </c>
      <c r="D374" s="83" t="s">
        <v>2059</v>
      </c>
      <c r="E374" s="83" t="b">
        <v>1</v>
      </c>
      <c r="F374" s="83" t="b">
        <v>0</v>
      </c>
      <c r="G374" s="83" t="b">
        <v>0</v>
      </c>
    </row>
    <row r="375" spans="1:7" ht="15">
      <c r="A375" s="84" t="s">
        <v>1792</v>
      </c>
      <c r="B375" s="83">
        <v>2</v>
      </c>
      <c r="C375" s="110">
        <v>0.0012314030084370953</v>
      </c>
      <c r="D375" s="83" t="s">
        <v>2059</v>
      </c>
      <c r="E375" s="83" t="b">
        <v>0</v>
      </c>
      <c r="F375" s="83" t="b">
        <v>0</v>
      </c>
      <c r="G375" s="83" t="b">
        <v>0</v>
      </c>
    </row>
    <row r="376" spans="1:7" ht="15">
      <c r="A376" s="84" t="s">
        <v>1793</v>
      </c>
      <c r="B376" s="83">
        <v>2</v>
      </c>
      <c r="C376" s="110">
        <v>0.0010812259090786612</v>
      </c>
      <c r="D376" s="83" t="s">
        <v>2059</v>
      </c>
      <c r="E376" s="83" t="b">
        <v>0</v>
      </c>
      <c r="F376" s="83" t="b">
        <v>0</v>
      </c>
      <c r="G376" s="83" t="b">
        <v>0</v>
      </c>
    </row>
    <row r="377" spans="1:7" ht="15">
      <c r="A377" s="84" t="s">
        <v>1794</v>
      </c>
      <c r="B377" s="83">
        <v>2</v>
      </c>
      <c r="C377" s="110">
        <v>0.0010812259090786612</v>
      </c>
      <c r="D377" s="83" t="s">
        <v>2059</v>
      </c>
      <c r="E377" s="83" t="b">
        <v>0</v>
      </c>
      <c r="F377" s="83" t="b">
        <v>0</v>
      </c>
      <c r="G377" s="83" t="b">
        <v>0</v>
      </c>
    </row>
    <row r="378" spans="1:7" ht="15">
      <c r="A378" s="84" t="s">
        <v>1795</v>
      </c>
      <c r="B378" s="83">
        <v>2</v>
      </c>
      <c r="C378" s="110">
        <v>0.0010812259090786612</v>
      </c>
      <c r="D378" s="83" t="s">
        <v>2059</v>
      </c>
      <c r="E378" s="83" t="b">
        <v>0</v>
      </c>
      <c r="F378" s="83" t="b">
        <v>0</v>
      </c>
      <c r="G378" s="83" t="b">
        <v>0</v>
      </c>
    </row>
    <row r="379" spans="1:7" ht="15">
      <c r="A379" s="84" t="s">
        <v>1796</v>
      </c>
      <c r="B379" s="83">
        <v>2</v>
      </c>
      <c r="C379" s="110">
        <v>0.0010812259090786612</v>
      </c>
      <c r="D379" s="83" t="s">
        <v>2059</v>
      </c>
      <c r="E379" s="83" t="b">
        <v>0</v>
      </c>
      <c r="F379" s="83" t="b">
        <v>1</v>
      </c>
      <c r="G379" s="83" t="b">
        <v>0</v>
      </c>
    </row>
    <row r="380" spans="1:7" ht="15">
      <c r="A380" s="84" t="s">
        <v>1797</v>
      </c>
      <c r="B380" s="83">
        <v>2</v>
      </c>
      <c r="C380" s="110">
        <v>0.0012314030084370953</v>
      </c>
      <c r="D380" s="83" t="s">
        <v>2059</v>
      </c>
      <c r="E380" s="83" t="b">
        <v>0</v>
      </c>
      <c r="F380" s="83" t="b">
        <v>0</v>
      </c>
      <c r="G380" s="83" t="b">
        <v>0</v>
      </c>
    </row>
    <row r="381" spans="1:7" ht="15">
      <c r="A381" s="84" t="s">
        <v>1798</v>
      </c>
      <c r="B381" s="83">
        <v>2</v>
      </c>
      <c r="C381" s="110">
        <v>0.0010812259090786612</v>
      </c>
      <c r="D381" s="83" t="s">
        <v>2059</v>
      </c>
      <c r="E381" s="83" t="b">
        <v>0</v>
      </c>
      <c r="F381" s="83" t="b">
        <v>0</v>
      </c>
      <c r="G381" s="83" t="b">
        <v>0</v>
      </c>
    </row>
    <row r="382" spans="1:7" ht="15">
      <c r="A382" s="84" t="s">
        <v>1799</v>
      </c>
      <c r="B382" s="83">
        <v>2</v>
      </c>
      <c r="C382" s="110">
        <v>0.0012314030084370953</v>
      </c>
      <c r="D382" s="83" t="s">
        <v>2059</v>
      </c>
      <c r="E382" s="83" t="b">
        <v>0</v>
      </c>
      <c r="F382" s="83" t="b">
        <v>0</v>
      </c>
      <c r="G382" s="83" t="b">
        <v>0</v>
      </c>
    </row>
    <row r="383" spans="1:7" ht="15">
      <c r="A383" s="84" t="s">
        <v>1800</v>
      </c>
      <c r="B383" s="83">
        <v>2</v>
      </c>
      <c r="C383" s="110">
        <v>0.0012314030084370953</v>
      </c>
      <c r="D383" s="83" t="s">
        <v>2059</v>
      </c>
      <c r="E383" s="83" t="b">
        <v>0</v>
      </c>
      <c r="F383" s="83" t="b">
        <v>0</v>
      </c>
      <c r="G383" s="83" t="b">
        <v>0</v>
      </c>
    </row>
    <row r="384" spans="1:7" ht="15">
      <c r="A384" s="84" t="s">
        <v>1801</v>
      </c>
      <c r="B384" s="83">
        <v>2</v>
      </c>
      <c r="C384" s="110">
        <v>0.0010812259090786612</v>
      </c>
      <c r="D384" s="83" t="s">
        <v>2059</v>
      </c>
      <c r="E384" s="83" t="b">
        <v>1</v>
      </c>
      <c r="F384" s="83" t="b">
        <v>0</v>
      </c>
      <c r="G384" s="83" t="b">
        <v>0</v>
      </c>
    </row>
    <row r="385" spans="1:7" ht="15">
      <c r="A385" s="84" t="s">
        <v>1802</v>
      </c>
      <c r="B385" s="83">
        <v>2</v>
      </c>
      <c r="C385" s="110">
        <v>0.0010812259090786612</v>
      </c>
      <c r="D385" s="83" t="s">
        <v>2059</v>
      </c>
      <c r="E385" s="83" t="b">
        <v>0</v>
      </c>
      <c r="F385" s="83" t="b">
        <v>0</v>
      </c>
      <c r="G385" s="83" t="b">
        <v>0</v>
      </c>
    </row>
    <row r="386" spans="1:7" ht="15">
      <c r="A386" s="84" t="s">
        <v>1803</v>
      </c>
      <c r="B386" s="83">
        <v>2</v>
      </c>
      <c r="C386" s="110">
        <v>0.0010812259090786612</v>
      </c>
      <c r="D386" s="83" t="s">
        <v>2059</v>
      </c>
      <c r="E386" s="83" t="b">
        <v>0</v>
      </c>
      <c r="F386" s="83" t="b">
        <v>0</v>
      </c>
      <c r="G386" s="83" t="b">
        <v>0</v>
      </c>
    </row>
    <row r="387" spans="1:7" ht="15">
      <c r="A387" s="84" t="s">
        <v>1804</v>
      </c>
      <c r="B387" s="83">
        <v>2</v>
      </c>
      <c r="C387" s="110">
        <v>0.0012314030084370953</v>
      </c>
      <c r="D387" s="83" t="s">
        <v>2059</v>
      </c>
      <c r="E387" s="83" t="b">
        <v>0</v>
      </c>
      <c r="F387" s="83" t="b">
        <v>0</v>
      </c>
      <c r="G387" s="83" t="b">
        <v>0</v>
      </c>
    </row>
    <row r="388" spans="1:7" ht="15">
      <c r="A388" s="84" t="s">
        <v>1805</v>
      </c>
      <c r="B388" s="83">
        <v>2</v>
      </c>
      <c r="C388" s="110">
        <v>0.0010812259090786612</v>
      </c>
      <c r="D388" s="83" t="s">
        <v>2059</v>
      </c>
      <c r="E388" s="83" t="b">
        <v>0</v>
      </c>
      <c r="F388" s="83" t="b">
        <v>0</v>
      </c>
      <c r="G388" s="83" t="b">
        <v>0</v>
      </c>
    </row>
    <row r="389" spans="1:7" ht="15">
      <c r="A389" s="84" t="s">
        <v>1806</v>
      </c>
      <c r="B389" s="83">
        <v>2</v>
      </c>
      <c r="C389" s="110">
        <v>0.0010812259090786612</v>
      </c>
      <c r="D389" s="83" t="s">
        <v>2059</v>
      </c>
      <c r="E389" s="83" t="b">
        <v>0</v>
      </c>
      <c r="F389" s="83" t="b">
        <v>0</v>
      </c>
      <c r="G389" s="83" t="b">
        <v>0</v>
      </c>
    </row>
    <row r="390" spans="1:7" ht="15">
      <c r="A390" s="84" t="s">
        <v>1807</v>
      </c>
      <c r="B390" s="83">
        <v>2</v>
      </c>
      <c r="C390" s="110">
        <v>0.0010812259090786612</v>
      </c>
      <c r="D390" s="83" t="s">
        <v>2059</v>
      </c>
      <c r="E390" s="83" t="b">
        <v>0</v>
      </c>
      <c r="F390" s="83" t="b">
        <v>0</v>
      </c>
      <c r="G390" s="83" t="b">
        <v>0</v>
      </c>
    </row>
    <row r="391" spans="1:7" ht="15">
      <c r="A391" s="84" t="s">
        <v>1808</v>
      </c>
      <c r="B391" s="83">
        <v>2</v>
      </c>
      <c r="C391" s="110">
        <v>0.0010812259090786612</v>
      </c>
      <c r="D391" s="83" t="s">
        <v>2059</v>
      </c>
      <c r="E391" s="83" t="b">
        <v>0</v>
      </c>
      <c r="F391" s="83" t="b">
        <v>0</v>
      </c>
      <c r="G391" s="83" t="b">
        <v>0</v>
      </c>
    </row>
    <row r="392" spans="1:7" ht="15">
      <c r="A392" s="84" t="s">
        <v>1809</v>
      </c>
      <c r="B392" s="83">
        <v>2</v>
      </c>
      <c r="C392" s="110">
        <v>0.0010812259090786612</v>
      </c>
      <c r="D392" s="83" t="s">
        <v>2059</v>
      </c>
      <c r="E392" s="83" t="b">
        <v>0</v>
      </c>
      <c r="F392" s="83" t="b">
        <v>0</v>
      </c>
      <c r="G392" s="83" t="b">
        <v>0</v>
      </c>
    </row>
    <row r="393" spans="1:7" ht="15">
      <c r="A393" s="84" t="s">
        <v>1810</v>
      </c>
      <c r="B393" s="83">
        <v>2</v>
      </c>
      <c r="C393" s="110">
        <v>0.0010812259090786612</v>
      </c>
      <c r="D393" s="83" t="s">
        <v>2059</v>
      </c>
      <c r="E393" s="83" t="b">
        <v>0</v>
      </c>
      <c r="F393" s="83" t="b">
        <v>0</v>
      </c>
      <c r="G393" s="83" t="b">
        <v>0</v>
      </c>
    </row>
    <row r="394" spans="1:7" ht="15">
      <c r="A394" s="84" t="s">
        <v>1811</v>
      </c>
      <c r="B394" s="83">
        <v>2</v>
      </c>
      <c r="C394" s="110">
        <v>0.0010812259090786612</v>
      </c>
      <c r="D394" s="83" t="s">
        <v>2059</v>
      </c>
      <c r="E394" s="83" t="b">
        <v>0</v>
      </c>
      <c r="F394" s="83" t="b">
        <v>0</v>
      </c>
      <c r="G394" s="83" t="b">
        <v>0</v>
      </c>
    </row>
    <row r="395" spans="1:7" ht="15">
      <c r="A395" s="84" t="s">
        <v>1812</v>
      </c>
      <c r="B395" s="83">
        <v>2</v>
      </c>
      <c r="C395" s="110">
        <v>0.0010812259090786612</v>
      </c>
      <c r="D395" s="83" t="s">
        <v>2059</v>
      </c>
      <c r="E395" s="83" t="b">
        <v>0</v>
      </c>
      <c r="F395" s="83" t="b">
        <v>0</v>
      </c>
      <c r="G395" s="83" t="b">
        <v>0</v>
      </c>
    </row>
    <row r="396" spans="1:7" ht="15">
      <c r="A396" s="84" t="s">
        <v>1813</v>
      </c>
      <c r="B396" s="83">
        <v>2</v>
      </c>
      <c r="C396" s="110">
        <v>0.0010812259090786612</v>
      </c>
      <c r="D396" s="83" t="s">
        <v>2059</v>
      </c>
      <c r="E396" s="83" t="b">
        <v>0</v>
      </c>
      <c r="F396" s="83" t="b">
        <v>0</v>
      </c>
      <c r="G396" s="83" t="b">
        <v>0</v>
      </c>
    </row>
    <row r="397" spans="1:7" ht="15">
      <c r="A397" s="84" t="s">
        <v>1814</v>
      </c>
      <c r="B397" s="83">
        <v>2</v>
      </c>
      <c r="C397" s="110">
        <v>0.0010812259090786612</v>
      </c>
      <c r="D397" s="83" t="s">
        <v>2059</v>
      </c>
      <c r="E397" s="83" t="b">
        <v>0</v>
      </c>
      <c r="F397" s="83" t="b">
        <v>1</v>
      </c>
      <c r="G397" s="83" t="b">
        <v>0</v>
      </c>
    </row>
    <row r="398" spans="1:7" ht="15">
      <c r="A398" s="84" t="s">
        <v>1815</v>
      </c>
      <c r="B398" s="83">
        <v>2</v>
      </c>
      <c r="C398" s="110">
        <v>0.0010812259090786612</v>
      </c>
      <c r="D398" s="83" t="s">
        <v>2059</v>
      </c>
      <c r="E398" s="83" t="b">
        <v>0</v>
      </c>
      <c r="F398" s="83" t="b">
        <v>0</v>
      </c>
      <c r="G398" s="83" t="b">
        <v>0</v>
      </c>
    </row>
    <row r="399" spans="1:7" ht="15">
      <c r="A399" s="84" t="s">
        <v>1816</v>
      </c>
      <c r="B399" s="83">
        <v>2</v>
      </c>
      <c r="C399" s="110">
        <v>0.0010812259090786612</v>
      </c>
      <c r="D399" s="83" t="s">
        <v>2059</v>
      </c>
      <c r="E399" s="83" t="b">
        <v>0</v>
      </c>
      <c r="F399" s="83" t="b">
        <v>0</v>
      </c>
      <c r="G399" s="83" t="b">
        <v>0</v>
      </c>
    </row>
    <row r="400" spans="1:7" ht="15">
      <c r="A400" s="84" t="s">
        <v>1817</v>
      </c>
      <c r="B400" s="83">
        <v>2</v>
      </c>
      <c r="C400" s="110">
        <v>0.0010812259090786612</v>
      </c>
      <c r="D400" s="83" t="s">
        <v>2059</v>
      </c>
      <c r="E400" s="83" t="b">
        <v>1</v>
      </c>
      <c r="F400" s="83" t="b">
        <v>0</v>
      </c>
      <c r="G400" s="83" t="b">
        <v>0</v>
      </c>
    </row>
    <row r="401" spans="1:7" ht="15">
      <c r="A401" s="84" t="s">
        <v>1818</v>
      </c>
      <c r="B401" s="83">
        <v>2</v>
      </c>
      <c r="C401" s="110">
        <v>0.0010812259090786612</v>
      </c>
      <c r="D401" s="83" t="s">
        <v>2059</v>
      </c>
      <c r="E401" s="83" t="b">
        <v>0</v>
      </c>
      <c r="F401" s="83" t="b">
        <v>0</v>
      </c>
      <c r="G401" s="83" t="b">
        <v>0</v>
      </c>
    </row>
    <row r="402" spans="1:7" ht="15">
      <c r="A402" s="84" t="s">
        <v>1819</v>
      </c>
      <c r="B402" s="83">
        <v>2</v>
      </c>
      <c r="C402" s="110">
        <v>0.0010812259090786612</v>
      </c>
      <c r="D402" s="83" t="s">
        <v>2059</v>
      </c>
      <c r="E402" s="83" t="b">
        <v>0</v>
      </c>
      <c r="F402" s="83" t="b">
        <v>1</v>
      </c>
      <c r="G402" s="83" t="b">
        <v>0</v>
      </c>
    </row>
    <row r="403" spans="1:7" ht="15">
      <c r="A403" s="84" t="s">
        <v>1820</v>
      </c>
      <c r="B403" s="83">
        <v>2</v>
      </c>
      <c r="C403" s="110">
        <v>0.0010812259090786612</v>
      </c>
      <c r="D403" s="83" t="s">
        <v>2059</v>
      </c>
      <c r="E403" s="83" t="b">
        <v>0</v>
      </c>
      <c r="F403" s="83" t="b">
        <v>0</v>
      </c>
      <c r="G403" s="83" t="b">
        <v>0</v>
      </c>
    </row>
    <row r="404" spans="1:7" ht="15">
      <c r="A404" s="84" t="s">
        <v>1821</v>
      </c>
      <c r="B404" s="83">
        <v>2</v>
      </c>
      <c r="C404" s="110">
        <v>0.0010812259090786612</v>
      </c>
      <c r="D404" s="83" t="s">
        <v>2059</v>
      </c>
      <c r="E404" s="83" t="b">
        <v>0</v>
      </c>
      <c r="F404" s="83" t="b">
        <v>0</v>
      </c>
      <c r="G404" s="83" t="b">
        <v>0</v>
      </c>
    </row>
    <row r="405" spans="1:7" ht="15">
      <c r="A405" s="84" t="s">
        <v>1822</v>
      </c>
      <c r="B405" s="83">
        <v>2</v>
      </c>
      <c r="C405" s="110">
        <v>0.0010812259090786612</v>
      </c>
      <c r="D405" s="83" t="s">
        <v>2059</v>
      </c>
      <c r="E405" s="83" t="b">
        <v>0</v>
      </c>
      <c r="F405" s="83" t="b">
        <v>0</v>
      </c>
      <c r="G405" s="83" t="b">
        <v>0</v>
      </c>
    </row>
    <row r="406" spans="1:7" ht="15">
      <c r="A406" s="84" t="s">
        <v>1823</v>
      </c>
      <c r="B406" s="83">
        <v>2</v>
      </c>
      <c r="C406" s="110">
        <v>0.0012314030084370953</v>
      </c>
      <c r="D406" s="83" t="s">
        <v>2059</v>
      </c>
      <c r="E406" s="83" t="b">
        <v>0</v>
      </c>
      <c r="F406" s="83" t="b">
        <v>0</v>
      </c>
      <c r="G406" s="83" t="b">
        <v>0</v>
      </c>
    </row>
    <row r="407" spans="1:7" ht="15">
      <c r="A407" s="84" t="s">
        <v>1824</v>
      </c>
      <c r="B407" s="83">
        <v>2</v>
      </c>
      <c r="C407" s="110">
        <v>0.0012314030084370953</v>
      </c>
      <c r="D407" s="83" t="s">
        <v>2059</v>
      </c>
      <c r="E407" s="83" t="b">
        <v>0</v>
      </c>
      <c r="F407" s="83" t="b">
        <v>0</v>
      </c>
      <c r="G407" s="83" t="b">
        <v>0</v>
      </c>
    </row>
    <row r="408" spans="1:7" ht="15">
      <c r="A408" s="84" t="s">
        <v>1825</v>
      </c>
      <c r="B408" s="83">
        <v>2</v>
      </c>
      <c r="C408" s="110">
        <v>0.0010812259090786612</v>
      </c>
      <c r="D408" s="83" t="s">
        <v>2059</v>
      </c>
      <c r="E408" s="83" t="b">
        <v>0</v>
      </c>
      <c r="F408" s="83" t="b">
        <v>0</v>
      </c>
      <c r="G408" s="83" t="b">
        <v>0</v>
      </c>
    </row>
    <row r="409" spans="1:7" ht="15">
      <c r="A409" s="84" t="s">
        <v>1826</v>
      </c>
      <c r="B409" s="83">
        <v>2</v>
      </c>
      <c r="C409" s="110">
        <v>0.0010812259090786612</v>
      </c>
      <c r="D409" s="83" t="s">
        <v>2059</v>
      </c>
      <c r="E409" s="83" t="b">
        <v>0</v>
      </c>
      <c r="F409" s="83" t="b">
        <v>0</v>
      </c>
      <c r="G409" s="83" t="b">
        <v>0</v>
      </c>
    </row>
    <row r="410" spans="1:7" ht="15">
      <c r="A410" s="84" t="s">
        <v>1827</v>
      </c>
      <c r="B410" s="83">
        <v>2</v>
      </c>
      <c r="C410" s="110">
        <v>0.0010812259090786612</v>
      </c>
      <c r="D410" s="83" t="s">
        <v>2059</v>
      </c>
      <c r="E410" s="83" t="b">
        <v>0</v>
      </c>
      <c r="F410" s="83" t="b">
        <v>0</v>
      </c>
      <c r="G410" s="83" t="b">
        <v>0</v>
      </c>
    </row>
    <row r="411" spans="1:7" ht="15">
      <c r="A411" s="84" t="s">
        <v>1828</v>
      </c>
      <c r="B411" s="83">
        <v>2</v>
      </c>
      <c r="C411" s="110">
        <v>0.0010812259090786612</v>
      </c>
      <c r="D411" s="83" t="s">
        <v>2059</v>
      </c>
      <c r="E411" s="83" t="b">
        <v>1</v>
      </c>
      <c r="F411" s="83" t="b">
        <v>0</v>
      </c>
      <c r="G411" s="83" t="b">
        <v>0</v>
      </c>
    </row>
    <row r="412" spans="1:7" ht="15">
      <c r="A412" s="84" t="s">
        <v>1829</v>
      </c>
      <c r="B412" s="83">
        <v>2</v>
      </c>
      <c r="C412" s="110">
        <v>0.0010812259090786612</v>
      </c>
      <c r="D412" s="83" t="s">
        <v>2059</v>
      </c>
      <c r="E412" s="83" t="b">
        <v>0</v>
      </c>
      <c r="F412" s="83" t="b">
        <v>0</v>
      </c>
      <c r="G412" s="83" t="b">
        <v>0</v>
      </c>
    </row>
    <row r="413" spans="1:7" ht="15">
      <c r="A413" s="84" t="s">
        <v>1830</v>
      </c>
      <c r="B413" s="83">
        <v>2</v>
      </c>
      <c r="C413" s="110">
        <v>0.0010812259090786612</v>
      </c>
      <c r="D413" s="83" t="s">
        <v>2059</v>
      </c>
      <c r="E413" s="83" t="b">
        <v>0</v>
      </c>
      <c r="F413" s="83" t="b">
        <v>0</v>
      </c>
      <c r="G413" s="83" t="b">
        <v>0</v>
      </c>
    </row>
    <row r="414" spans="1:7" ht="15">
      <c r="A414" s="84" t="s">
        <v>1831</v>
      </c>
      <c r="B414" s="83">
        <v>2</v>
      </c>
      <c r="C414" s="110">
        <v>0.0010812259090786612</v>
      </c>
      <c r="D414" s="83" t="s">
        <v>2059</v>
      </c>
      <c r="E414" s="83" t="b">
        <v>0</v>
      </c>
      <c r="F414" s="83" t="b">
        <v>0</v>
      </c>
      <c r="G414" s="83" t="b">
        <v>0</v>
      </c>
    </row>
    <row r="415" spans="1:7" ht="15">
      <c r="A415" s="84" t="s">
        <v>1832</v>
      </c>
      <c r="B415" s="83">
        <v>2</v>
      </c>
      <c r="C415" s="110">
        <v>0.0012314030084370953</v>
      </c>
      <c r="D415" s="83" t="s">
        <v>2059</v>
      </c>
      <c r="E415" s="83" t="b">
        <v>0</v>
      </c>
      <c r="F415" s="83" t="b">
        <v>0</v>
      </c>
      <c r="G415" s="83" t="b">
        <v>0</v>
      </c>
    </row>
    <row r="416" spans="1:7" ht="15">
      <c r="A416" s="84" t="s">
        <v>1833</v>
      </c>
      <c r="B416" s="83">
        <v>2</v>
      </c>
      <c r="C416" s="110">
        <v>0.0010812259090786612</v>
      </c>
      <c r="D416" s="83" t="s">
        <v>2059</v>
      </c>
      <c r="E416" s="83" t="b">
        <v>0</v>
      </c>
      <c r="F416" s="83" t="b">
        <v>0</v>
      </c>
      <c r="G416" s="83" t="b">
        <v>0</v>
      </c>
    </row>
    <row r="417" spans="1:7" ht="15">
      <c r="A417" s="84" t="s">
        <v>1834</v>
      </c>
      <c r="B417" s="83">
        <v>2</v>
      </c>
      <c r="C417" s="110">
        <v>0.0012314030084370953</v>
      </c>
      <c r="D417" s="83" t="s">
        <v>2059</v>
      </c>
      <c r="E417" s="83" t="b">
        <v>0</v>
      </c>
      <c r="F417" s="83" t="b">
        <v>1</v>
      </c>
      <c r="G417" s="83" t="b">
        <v>0</v>
      </c>
    </row>
    <row r="418" spans="1:7" ht="15">
      <c r="A418" s="84" t="s">
        <v>1835</v>
      </c>
      <c r="B418" s="83">
        <v>2</v>
      </c>
      <c r="C418" s="110">
        <v>0.0010812259090786612</v>
      </c>
      <c r="D418" s="83" t="s">
        <v>2059</v>
      </c>
      <c r="E418" s="83" t="b">
        <v>0</v>
      </c>
      <c r="F418" s="83" t="b">
        <v>0</v>
      </c>
      <c r="G418" s="83" t="b">
        <v>0</v>
      </c>
    </row>
    <row r="419" spans="1:7" ht="15">
      <c r="A419" s="84" t="s">
        <v>1836</v>
      </c>
      <c r="B419" s="83">
        <v>2</v>
      </c>
      <c r="C419" s="110">
        <v>0.0010812259090786612</v>
      </c>
      <c r="D419" s="83" t="s">
        <v>2059</v>
      </c>
      <c r="E419" s="83" t="b">
        <v>0</v>
      </c>
      <c r="F419" s="83" t="b">
        <v>0</v>
      </c>
      <c r="G419" s="83" t="b">
        <v>0</v>
      </c>
    </row>
    <row r="420" spans="1:7" ht="15">
      <c r="A420" s="84" t="s">
        <v>1837</v>
      </c>
      <c r="B420" s="83">
        <v>2</v>
      </c>
      <c r="C420" s="110">
        <v>0.0010812259090786612</v>
      </c>
      <c r="D420" s="83" t="s">
        <v>2059</v>
      </c>
      <c r="E420" s="83" t="b">
        <v>0</v>
      </c>
      <c r="F420" s="83" t="b">
        <v>0</v>
      </c>
      <c r="G420" s="83" t="b">
        <v>0</v>
      </c>
    </row>
    <row r="421" spans="1:7" ht="15">
      <c r="A421" s="84" t="s">
        <v>1838</v>
      </c>
      <c r="B421" s="83">
        <v>2</v>
      </c>
      <c r="C421" s="110">
        <v>0.0010812259090786612</v>
      </c>
      <c r="D421" s="83" t="s">
        <v>2059</v>
      </c>
      <c r="E421" s="83" t="b">
        <v>0</v>
      </c>
      <c r="F421" s="83" t="b">
        <v>0</v>
      </c>
      <c r="G421" s="83" t="b">
        <v>0</v>
      </c>
    </row>
    <row r="422" spans="1:7" ht="15">
      <c r="A422" s="84" t="s">
        <v>1839</v>
      </c>
      <c r="B422" s="83">
        <v>2</v>
      </c>
      <c r="C422" s="110">
        <v>0.0010812259090786612</v>
      </c>
      <c r="D422" s="83" t="s">
        <v>2059</v>
      </c>
      <c r="E422" s="83" t="b">
        <v>0</v>
      </c>
      <c r="F422" s="83" t="b">
        <v>0</v>
      </c>
      <c r="G422" s="83" t="b">
        <v>0</v>
      </c>
    </row>
    <row r="423" spans="1:7" ht="15">
      <c r="A423" s="84" t="s">
        <v>1840</v>
      </c>
      <c r="B423" s="83">
        <v>2</v>
      </c>
      <c r="C423" s="110">
        <v>0.0012314030084370953</v>
      </c>
      <c r="D423" s="83" t="s">
        <v>2059</v>
      </c>
      <c r="E423" s="83" t="b">
        <v>0</v>
      </c>
      <c r="F423" s="83" t="b">
        <v>0</v>
      </c>
      <c r="G423" s="83" t="b">
        <v>0</v>
      </c>
    </row>
    <row r="424" spans="1:7" ht="15">
      <c r="A424" s="84" t="s">
        <v>1841</v>
      </c>
      <c r="B424" s="83">
        <v>2</v>
      </c>
      <c r="C424" s="110">
        <v>0.0012314030084370953</v>
      </c>
      <c r="D424" s="83" t="s">
        <v>2059</v>
      </c>
      <c r="E424" s="83" t="b">
        <v>0</v>
      </c>
      <c r="F424" s="83" t="b">
        <v>0</v>
      </c>
      <c r="G424" s="83" t="b">
        <v>0</v>
      </c>
    </row>
    <row r="425" spans="1:7" ht="15">
      <c r="A425" s="84" t="s">
        <v>1842</v>
      </c>
      <c r="B425" s="83">
        <v>2</v>
      </c>
      <c r="C425" s="110">
        <v>0.0012314030084370953</v>
      </c>
      <c r="D425" s="83" t="s">
        <v>2059</v>
      </c>
      <c r="E425" s="83" t="b">
        <v>0</v>
      </c>
      <c r="F425" s="83" t="b">
        <v>0</v>
      </c>
      <c r="G425" s="83" t="b">
        <v>0</v>
      </c>
    </row>
    <row r="426" spans="1:7" ht="15">
      <c r="A426" s="84" t="s">
        <v>1843</v>
      </c>
      <c r="B426" s="83">
        <v>2</v>
      </c>
      <c r="C426" s="110">
        <v>0.0012314030084370953</v>
      </c>
      <c r="D426" s="83" t="s">
        <v>2059</v>
      </c>
      <c r="E426" s="83" t="b">
        <v>0</v>
      </c>
      <c r="F426" s="83" t="b">
        <v>0</v>
      </c>
      <c r="G426" s="83" t="b">
        <v>0</v>
      </c>
    </row>
    <row r="427" spans="1:7" ht="15">
      <c r="A427" s="84" t="s">
        <v>1844</v>
      </c>
      <c r="B427" s="83">
        <v>2</v>
      </c>
      <c r="C427" s="110">
        <v>0.0010812259090786612</v>
      </c>
      <c r="D427" s="83" t="s">
        <v>2059</v>
      </c>
      <c r="E427" s="83" t="b">
        <v>0</v>
      </c>
      <c r="F427" s="83" t="b">
        <v>0</v>
      </c>
      <c r="G427" s="83" t="b">
        <v>0</v>
      </c>
    </row>
    <row r="428" spans="1:7" ht="15">
      <c r="A428" s="84" t="s">
        <v>1845</v>
      </c>
      <c r="B428" s="83">
        <v>2</v>
      </c>
      <c r="C428" s="110">
        <v>0.0010812259090786612</v>
      </c>
      <c r="D428" s="83" t="s">
        <v>2059</v>
      </c>
      <c r="E428" s="83" t="b">
        <v>0</v>
      </c>
      <c r="F428" s="83" t="b">
        <v>0</v>
      </c>
      <c r="G428" s="83" t="b">
        <v>0</v>
      </c>
    </row>
    <row r="429" spans="1:7" ht="15">
      <c r="A429" s="84" t="s">
        <v>1846</v>
      </c>
      <c r="B429" s="83">
        <v>2</v>
      </c>
      <c r="C429" s="110">
        <v>0.0010812259090786612</v>
      </c>
      <c r="D429" s="83" t="s">
        <v>2059</v>
      </c>
      <c r="E429" s="83" t="b">
        <v>0</v>
      </c>
      <c r="F429" s="83" t="b">
        <v>0</v>
      </c>
      <c r="G429" s="83" t="b">
        <v>0</v>
      </c>
    </row>
    <row r="430" spans="1:7" ht="15">
      <c r="A430" s="84" t="s">
        <v>1847</v>
      </c>
      <c r="B430" s="83">
        <v>2</v>
      </c>
      <c r="C430" s="110">
        <v>0.0012314030084370953</v>
      </c>
      <c r="D430" s="83" t="s">
        <v>2059</v>
      </c>
      <c r="E430" s="83" t="b">
        <v>0</v>
      </c>
      <c r="F430" s="83" t="b">
        <v>0</v>
      </c>
      <c r="G430" s="83" t="b">
        <v>0</v>
      </c>
    </row>
    <row r="431" spans="1:7" ht="15">
      <c r="A431" s="84" t="s">
        <v>1848</v>
      </c>
      <c r="B431" s="83">
        <v>2</v>
      </c>
      <c r="C431" s="110">
        <v>0.0010812259090786612</v>
      </c>
      <c r="D431" s="83" t="s">
        <v>2059</v>
      </c>
      <c r="E431" s="83" t="b">
        <v>0</v>
      </c>
      <c r="F431" s="83" t="b">
        <v>0</v>
      </c>
      <c r="G431" s="83" t="b">
        <v>0</v>
      </c>
    </row>
    <row r="432" spans="1:7" ht="15">
      <c r="A432" s="84" t="s">
        <v>1849</v>
      </c>
      <c r="B432" s="83">
        <v>2</v>
      </c>
      <c r="C432" s="110">
        <v>0.0010812259090786612</v>
      </c>
      <c r="D432" s="83" t="s">
        <v>2059</v>
      </c>
      <c r="E432" s="83" t="b">
        <v>0</v>
      </c>
      <c r="F432" s="83" t="b">
        <v>0</v>
      </c>
      <c r="G432" s="83" t="b">
        <v>0</v>
      </c>
    </row>
    <row r="433" spans="1:7" ht="15">
      <c r="A433" s="84" t="s">
        <v>1850</v>
      </c>
      <c r="B433" s="83">
        <v>2</v>
      </c>
      <c r="C433" s="110">
        <v>0.0010812259090786612</v>
      </c>
      <c r="D433" s="83" t="s">
        <v>2059</v>
      </c>
      <c r="E433" s="83" t="b">
        <v>0</v>
      </c>
      <c r="F433" s="83" t="b">
        <v>0</v>
      </c>
      <c r="G433" s="83" t="b">
        <v>0</v>
      </c>
    </row>
    <row r="434" spans="1:7" ht="15">
      <c r="A434" s="84" t="s">
        <v>1851</v>
      </c>
      <c r="B434" s="83">
        <v>2</v>
      </c>
      <c r="C434" s="110">
        <v>0.0010812259090786612</v>
      </c>
      <c r="D434" s="83" t="s">
        <v>2059</v>
      </c>
      <c r="E434" s="83" t="b">
        <v>0</v>
      </c>
      <c r="F434" s="83" t="b">
        <v>0</v>
      </c>
      <c r="G434" s="83" t="b">
        <v>0</v>
      </c>
    </row>
    <row r="435" spans="1:7" ht="15">
      <c r="A435" s="84" t="s">
        <v>1852</v>
      </c>
      <c r="B435" s="83">
        <v>2</v>
      </c>
      <c r="C435" s="110">
        <v>0.0010812259090786612</v>
      </c>
      <c r="D435" s="83" t="s">
        <v>2059</v>
      </c>
      <c r="E435" s="83" t="b">
        <v>0</v>
      </c>
      <c r="F435" s="83" t="b">
        <v>0</v>
      </c>
      <c r="G435" s="83" t="b">
        <v>0</v>
      </c>
    </row>
    <row r="436" spans="1:7" ht="15">
      <c r="A436" s="84" t="s">
        <v>1853</v>
      </c>
      <c r="B436" s="83">
        <v>2</v>
      </c>
      <c r="C436" s="110">
        <v>0.0010812259090786612</v>
      </c>
      <c r="D436" s="83" t="s">
        <v>2059</v>
      </c>
      <c r="E436" s="83" t="b">
        <v>0</v>
      </c>
      <c r="F436" s="83" t="b">
        <v>0</v>
      </c>
      <c r="G436" s="83" t="b">
        <v>0</v>
      </c>
    </row>
    <row r="437" spans="1:7" ht="15">
      <c r="A437" s="84" t="s">
        <v>1854</v>
      </c>
      <c r="B437" s="83">
        <v>2</v>
      </c>
      <c r="C437" s="110">
        <v>0.0010812259090786612</v>
      </c>
      <c r="D437" s="83" t="s">
        <v>2059</v>
      </c>
      <c r="E437" s="83" t="b">
        <v>0</v>
      </c>
      <c r="F437" s="83" t="b">
        <v>0</v>
      </c>
      <c r="G437" s="83" t="b">
        <v>0</v>
      </c>
    </row>
    <row r="438" spans="1:7" ht="15">
      <c r="A438" s="84" t="s">
        <v>1855</v>
      </c>
      <c r="B438" s="83">
        <v>2</v>
      </c>
      <c r="C438" s="110">
        <v>0.0010812259090786612</v>
      </c>
      <c r="D438" s="83" t="s">
        <v>2059</v>
      </c>
      <c r="E438" s="83" t="b">
        <v>0</v>
      </c>
      <c r="F438" s="83" t="b">
        <v>0</v>
      </c>
      <c r="G438" s="83" t="b">
        <v>0</v>
      </c>
    </row>
    <row r="439" spans="1:7" ht="15">
      <c r="A439" s="84" t="s">
        <v>1856</v>
      </c>
      <c r="B439" s="83">
        <v>2</v>
      </c>
      <c r="C439" s="110">
        <v>0.0010812259090786612</v>
      </c>
      <c r="D439" s="83" t="s">
        <v>2059</v>
      </c>
      <c r="E439" s="83" t="b">
        <v>0</v>
      </c>
      <c r="F439" s="83" t="b">
        <v>0</v>
      </c>
      <c r="G439" s="83" t="b">
        <v>0</v>
      </c>
    </row>
    <row r="440" spans="1:7" ht="15">
      <c r="A440" s="84" t="s">
        <v>1857</v>
      </c>
      <c r="B440" s="83">
        <v>2</v>
      </c>
      <c r="C440" s="110">
        <v>0.0010812259090786612</v>
      </c>
      <c r="D440" s="83" t="s">
        <v>2059</v>
      </c>
      <c r="E440" s="83" t="b">
        <v>0</v>
      </c>
      <c r="F440" s="83" t="b">
        <v>0</v>
      </c>
      <c r="G440" s="83" t="b">
        <v>0</v>
      </c>
    </row>
    <row r="441" spans="1:7" ht="15">
      <c r="A441" s="84" t="s">
        <v>1858</v>
      </c>
      <c r="B441" s="83">
        <v>2</v>
      </c>
      <c r="C441" s="110">
        <v>0.0010812259090786612</v>
      </c>
      <c r="D441" s="83" t="s">
        <v>2059</v>
      </c>
      <c r="E441" s="83" t="b">
        <v>0</v>
      </c>
      <c r="F441" s="83" t="b">
        <v>0</v>
      </c>
      <c r="G441" s="83" t="b">
        <v>0</v>
      </c>
    </row>
    <row r="442" spans="1:7" ht="15">
      <c r="A442" s="84" t="s">
        <v>1859</v>
      </c>
      <c r="B442" s="83">
        <v>2</v>
      </c>
      <c r="C442" s="110">
        <v>0.0010812259090786612</v>
      </c>
      <c r="D442" s="83" t="s">
        <v>2059</v>
      </c>
      <c r="E442" s="83" t="b">
        <v>0</v>
      </c>
      <c r="F442" s="83" t="b">
        <v>0</v>
      </c>
      <c r="G442" s="83" t="b">
        <v>0</v>
      </c>
    </row>
    <row r="443" spans="1:7" ht="15">
      <c r="A443" s="84" t="s">
        <v>1860</v>
      </c>
      <c r="B443" s="83">
        <v>2</v>
      </c>
      <c r="C443" s="110">
        <v>0.0010812259090786612</v>
      </c>
      <c r="D443" s="83" t="s">
        <v>2059</v>
      </c>
      <c r="E443" s="83" t="b">
        <v>0</v>
      </c>
      <c r="F443" s="83" t="b">
        <v>0</v>
      </c>
      <c r="G443" s="83" t="b">
        <v>0</v>
      </c>
    </row>
    <row r="444" spans="1:7" ht="15">
      <c r="A444" s="84" t="s">
        <v>1861</v>
      </c>
      <c r="B444" s="83">
        <v>2</v>
      </c>
      <c r="C444" s="110">
        <v>0.0010812259090786612</v>
      </c>
      <c r="D444" s="83" t="s">
        <v>2059</v>
      </c>
      <c r="E444" s="83" t="b">
        <v>0</v>
      </c>
      <c r="F444" s="83" t="b">
        <v>0</v>
      </c>
      <c r="G444" s="83" t="b">
        <v>0</v>
      </c>
    </row>
    <row r="445" spans="1:7" ht="15">
      <c r="A445" s="84" t="s">
        <v>1862</v>
      </c>
      <c r="B445" s="83">
        <v>2</v>
      </c>
      <c r="C445" s="110">
        <v>0.0010812259090786612</v>
      </c>
      <c r="D445" s="83" t="s">
        <v>2059</v>
      </c>
      <c r="E445" s="83" t="b">
        <v>0</v>
      </c>
      <c r="F445" s="83" t="b">
        <v>0</v>
      </c>
      <c r="G445" s="83" t="b">
        <v>0</v>
      </c>
    </row>
    <row r="446" spans="1:7" ht="15">
      <c r="A446" s="84" t="s">
        <v>1863</v>
      </c>
      <c r="B446" s="83">
        <v>2</v>
      </c>
      <c r="C446" s="110">
        <v>0.0010812259090786612</v>
      </c>
      <c r="D446" s="83" t="s">
        <v>2059</v>
      </c>
      <c r="E446" s="83" t="b">
        <v>1</v>
      </c>
      <c r="F446" s="83" t="b">
        <v>0</v>
      </c>
      <c r="G446" s="83" t="b">
        <v>0</v>
      </c>
    </row>
    <row r="447" spans="1:7" ht="15">
      <c r="A447" s="84" t="s">
        <v>1864</v>
      </c>
      <c r="B447" s="83">
        <v>2</v>
      </c>
      <c r="C447" s="110">
        <v>0.0010812259090786612</v>
      </c>
      <c r="D447" s="83" t="s">
        <v>2059</v>
      </c>
      <c r="E447" s="83" t="b">
        <v>0</v>
      </c>
      <c r="F447" s="83" t="b">
        <v>0</v>
      </c>
      <c r="G447" s="83" t="b">
        <v>0</v>
      </c>
    </row>
    <row r="448" spans="1:7" ht="15">
      <c r="A448" s="84" t="s">
        <v>1865</v>
      </c>
      <c r="B448" s="83">
        <v>2</v>
      </c>
      <c r="C448" s="110">
        <v>0.0010812259090786612</v>
      </c>
      <c r="D448" s="83" t="s">
        <v>2059</v>
      </c>
      <c r="E448" s="83" t="b">
        <v>0</v>
      </c>
      <c r="F448" s="83" t="b">
        <v>0</v>
      </c>
      <c r="G448" s="83" t="b">
        <v>0</v>
      </c>
    </row>
    <row r="449" spans="1:7" ht="15">
      <c r="A449" s="84" t="s">
        <v>1866</v>
      </c>
      <c r="B449" s="83">
        <v>2</v>
      </c>
      <c r="C449" s="110">
        <v>0.0010812259090786612</v>
      </c>
      <c r="D449" s="83" t="s">
        <v>2059</v>
      </c>
      <c r="E449" s="83" t="b">
        <v>1</v>
      </c>
      <c r="F449" s="83" t="b">
        <v>0</v>
      </c>
      <c r="G449" s="83" t="b">
        <v>0</v>
      </c>
    </row>
    <row r="450" spans="1:7" ht="15">
      <c r="A450" s="84" t="s">
        <v>1867</v>
      </c>
      <c r="B450" s="83">
        <v>2</v>
      </c>
      <c r="C450" s="110">
        <v>0.0010812259090786612</v>
      </c>
      <c r="D450" s="83" t="s">
        <v>2059</v>
      </c>
      <c r="E450" s="83" t="b">
        <v>0</v>
      </c>
      <c r="F450" s="83" t="b">
        <v>0</v>
      </c>
      <c r="G450" s="83" t="b">
        <v>0</v>
      </c>
    </row>
    <row r="451" spans="1:7" ht="15">
      <c r="A451" s="84" t="s">
        <v>1868</v>
      </c>
      <c r="B451" s="83">
        <v>2</v>
      </c>
      <c r="C451" s="110">
        <v>0.0010812259090786612</v>
      </c>
      <c r="D451" s="83" t="s">
        <v>2059</v>
      </c>
      <c r="E451" s="83" t="b">
        <v>0</v>
      </c>
      <c r="F451" s="83" t="b">
        <v>0</v>
      </c>
      <c r="G451" s="83" t="b">
        <v>0</v>
      </c>
    </row>
    <row r="452" spans="1:7" ht="15">
      <c r="A452" s="84" t="s">
        <v>1869</v>
      </c>
      <c r="B452" s="83">
        <v>2</v>
      </c>
      <c r="C452" s="110">
        <v>0.0010812259090786612</v>
      </c>
      <c r="D452" s="83" t="s">
        <v>2059</v>
      </c>
      <c r="E452" s="83" t="b">
        <v>0</v>
      </c>
      <c r="F452" s="83" t="b">
        <v>0</v>
      </c>
      <c r="G452" s="83" t="b">
        <v>0</v>
      </c>
    </row>
    <row r="453" spans="1:7" ht="15">
      <c r="A453" s="84" t="s">
        <v>1870</v>
      </c>
      <c r="B453" s="83">
        <v>2</v>
      </c>
      <c r="C453" s="110">
        <v>0.0010812259090786612</v>
      </c>
      <c r="D453" s="83" t="s">
        <v>2059</v>
      </c>
      <c r="E453" s="83" t="b">
        <v>0</v>
      </c>
      <c r="F453" s="83" t="b">
        <v>0</v>
      </c>
      <c r="G453" s="83" t="b">
        <v>0</v>
      </c>
    </row>
    <row r="454" spans="1:7" ht="15">
      <c r="A454" s="84" t="s">
        <v>1871</v>
      </c>
      <c r="B454" s="83">
        <v>2</v>
      </c>
      <c r="C454" s="110">
        <v>0.0010812259090786612</v>
      </c>
      <c r="D454" s="83" t="s">
        <v>2059</v>
      </c>
      <c r="E454" s="83" t="b">
        <v>0</v>
      </c>
      <c r="F454" s="83" t="b">
        <v>0</v>
      </c>
      <c r="G454" s="83" t="b">
        <v>0</v>
      </c>
    </row>
    <row r="455" spans="1:7" ht="15">
      <c r="A455" s="84" t="s">
        <v>1872</v>
      </c>
      <c r="B455" s="83">
        <v>2</v>
      </c>
      <c r="C455" s="110">
        <v>0.0010812259090786612</v>
      </c>
      <c r="D455" s="83" t="s">
        <v>2059</v>
      </c>
      <c r="E455" s="83" t="b">
        <v>0</v>
      </c>
      <c r="F455" s="83" t="b">
        <v>0</v>
      </c>
      <c r="G455" s="83" t="b">
        <v>0</v>
      </c>
    </row>
    <row r="456" spans="1:7" ht="15">
      <c r="A456" s="84" t="s">
        <v>1873</v>
      </c>
      <c r="B456" s="83">
        <v>2</v>
      </c>
      <c r="C456" s="110">
        <v>0.0010812259090786612</v>
      </c>
      <c r="D456" s="83" t="s">
        <v>2059</v>
      </c>
      <c r="E456" s="83" t="b">
        <v>0</v>
      </c>
      <c r="F456" s="83" t="b">
        <v>0</v>
      </c>
      <c r="G456" s="83" t="b">
        <v>0</v>
      </c>
    </row>
    <row r="457" spans="1:7" ht="15">
      <c r="A457" s="84" t="s">
        <v>1874</v>
      </c>
      <c r="B457" s="83">
        <v>2</v>
      </c>
      <c r="C457" s="110">
        <v>0.0010812259090786612</v>
      </c>
      <c r="D457" s="83" t="s">
        <v>2059</v>
      </c>
      <c r="E457" s="83" t="b">
        <v>0</v>
      </c>
      <c r="F457" s="83" t="b">
        <v>0</v>
      </c>
      <c r="G457" s="83" t="b">
        <v>0</v>
      </c>
    </row>
    <row r="458" spans="1:7" ht="15">
      <c r="A458" s="84" t="s">
        <v>1875</v>
      </c>
      <c r="B458" s="83">
        <v>2</v>
      </c>
      <c r="C458" s="110">
        <v>0.0010812259090786612</v>
      </c>
      <c r="D458" s="83" t="s">
        <v>2059</v>
      </c>
      <c r="E458" s="83" t="b">
        <v>0</v>
      </c>
      <c r="F458" s="83" t="b">
        <v>0</v>
      </c>
      <c r="G458" s="83" t="b">
        <v>0</v>
      </c>
    </row>
    <row r="459" spans="1:7" ht="15">
      <c r="A459" s="84" t="s">
        <v>1876</v>
      </c>
      <c r="B459" s="83">
        <v>2</v>
      </c>
      <c r="C459" s="110">
        <v>0.0010812259090786612</v>
      </c>
      <c r="D459" s="83" t="s">
        <v>2059</v>
      </c>
      <c r="E459" s="83" t="b">
        <v>0</v>
      </c>
      <c r="F459" s="83" t="b">
        <v>0</v>
      </c>
      <c r="G459" s="83" t="b">
        <v>0</v>
      </c>
    </row>
    <row r="460" spans="1:7" ht="15">
      <c r="A460" s="84" t="s">
        <v>1877</v>
      </c>
      <c r="B460" s="83">
        <v>2</v>
      </c>
      <c r="C460" s="110">
        <v>0.0010812259090786612</v>
      </c>
      <c r="D460" s="83" t="s">
        <v>2059</v>
      </c>
      <c r="E460" s="83" t="b">
        <v>0</v>
      </c>
      <c r="F460" s="83" t="b">
        <v>0</v>
      </c>
      <c r="G460" s="83" t="b">
        <v>0</v>
      </c>
    </row>
    <row r="461" spans="1:7" ht="15">
      <c r="A461" s="84" t="s">
        <v>1878</v>
      </c>
      <c r="B461" s="83">
        <v>2</v>
      </c>
      <c r="C461" s="110">
        <v>0.0010812259090786612</v>
      </c>
      <c r="D461" s="83" t="s">
        <v>2059</v>
      </c>
      <c r="E461" s="83" t="b">
        <v>0</v>
      </c>
      <c r="F461" s="83" t="b">
        <v>0</v>
      </c>
      <c r="G461" s="83" t="b">
        <v>0</v>
      </c>
    </row>
    <row r="462" spans="1:7" ht="15">
      <c r="A462" s="84" t="s">
        <v>1879</v>
      </c>
      <c r="B462" s="83">
        <v>2</v>
      </c>
      <c r="C462" s="110">
        <v>0.0010812259090786612</v>
      </c>
      <c r="D462" s="83" t="s">
        <v>2059</v>
      </c>
      <c r="E462" s="83" t="b">
        <v>0</v>
      </c>
      <c r="F462" s="83" t="b">
        <v>0</v>
      </c>
      <c r="G462" s="83" t="b">
        <v>0</v>
      </c>
    </row>
    <row r="463" spans="1:7" ht="15">
      <c r="A463" s="84" t="s">
        <v>1880</v>
      </c>
      <c r="B463" s="83">
        <v>2</v>
      </c>
      <c r="C463" s="110">
        <v>0.0012314030084370953</v>
      </c>
      <c r="D463" s="83" t="s">
        <v>2059</v>
      </c>
      <c r="E463" s="83" t="b">
        <v>0</v>
      </c>
      <c r="F463" s="83" t="b">
        <v>0</v>
      </c>
      <c r="G463" s="83" t="b">
        <v>0</v>
      </c>
    </row>
    <row r="464" spans="1:7" ht="15">
      <c r="A464" s="84" t="s">
        <v>1881</v>
      </c>
      <c r="B464" s="83">
        <v>2</v>
      </c>
      <c r="C464" s="110">
        <v>0.0010812259090786612</v>
      </c>
      <c r="D464" s="83" t="s">
        <v>2059</v>
      </c>
      <c r="E464" s="83" t="b">
        <v>1</v>
      </c>
      <c r="F464" s="83" t="b">
        <v>0</v>
      </c>
      <c r="G464" s="83" t="b">
        <v>0</v>
      </c>
    </row>
    <row r="465" spans="1:7" ht="15">
      <c r="A465" s="84" t="s">
        <v>1882</v>
      </c>
      <c r="B465" s="83">
        <v>2</v>
      </c>
      <c r="C465" s="110">
        <v>0.0010812259090786612</v>
      </c>
      <c r="D465" s="83" t="s">
        <v>2059</v>
      </c>
      <c r="E465" s="83" t="b">
        <v>0</v>
      </c>
      <c r="F465" s="83" t="b">
        <v>0</v>
      </c>
      <c r="G465" s="83" t="b">
        <v>0</v>
      </c>
    </row>
    <row r="466" spans="1:7" ht="15">
      <c r="A466" s="84" t="s">
        <v>1883</v>
      </c>
      <c r="B466" s="83">
        <v>2</v>
      </c>
      <c r="C466" s="110">
        <v>0.0010812259090786612</v>
      </c>
      <c r="D466" s="83" t="s">
        <v>2059</v>
      </c>
      <c r="E466" s="83" t="b">
        <v>1</v>
      </c>
      <c r="F466" s="83" t="b">
        <v>0</v>
      </c>
      <c r="G466" s="83" t="b">
        <v>0</v>
      </c>
    </row>
    <row r="467" spans="1:7" ht="15">
      <c r="A467" s="84" t="s">
        <v>1884</v>
      </c>
      <c r="B467" s="83">
        <v>2</v>
      </c>
      <c r="C467" s="110">
        <v>0.0010812259090786612</v>
      </c>
      <c r="D467" s="83" t="s">
        <v>2059</v>
      </c>
      <c r="E467" s="83" t="b">
        <v>0</v>
      </c>
      <c r="F467" s="83" t="b">
        <v>0</v>
      </c>
      <c r="G467" s="83" t="b">
        <v>0</v>
      </c>
    </row>
    <row r="468" spans="1:7" ht="15">
      <c r="A468" s="84" t="s">
        <v>1885</v>
      </c>
      <c r="B468" s="83">
        <v>2</v>
      </c>
      <c r="C468" s="110">
        <v>0.0010812259090786612</v>
      </c>
      <c r="D468" s="83" t="s">
        <v>2059</v>
      </c>
      <c r="E468" s="83" t="b">
        <v>0</v>
      </c>
      <c r="F468" s="83" t="b">
        <v>0</v>
      </c>
      <c r="G468" s="83" t="b">
        <v>0</v>
      </c>
    </row>
    <row r="469" spans="1:7" ht="15">
      <c r="A469" s="84" t="s">
        <v>1886</v>
      </c>
      <c r="B469" s="83">
        <v>2</v>
      </c>
      <c r="C469" s="110">
        <v>0.0010812259090786612</v>
      </c>
      <c r="D469" s="83" t="s">
        <v>2059</v>
      </c>
      <c r="E469" s="83" t="b">
        <v>1</v>
      </c>
      <c r="F469" s="83" t="b">
        <v>0</v>
      </c>
      <c r="G469" s="83" t="b">
        <v>0</v>
      </c>
    </row>
    <row r="470" spans="1:7" ht="15">
      <c r="A470" s="84" t="s">
        <v>1887</v>
      </c>
      <c r="B470" s="83">
        <v>2</v>
      </c>
      <c r="C470" s="110">
        <v>0.0010812259090786612</v>
      </c>
      <c r="D470" s="83" t="s">
        <v>2059</v>
      </c>
      <c r="E470" s="83" t="b">
        <v>0</v>
      </c>
      <c r="F470" s="83" t="b">
        <v>0</v>
      </c>
      <c r="G470" s="83" t="b">
        <v>0</v>
      </c>
    </row>
    <row r="471" spans="1:7" ht="15">
      <c r="A471" s="84" t="s">
        <v>1888</v>
      </c>
      <c r="B471" s="83">
        <v>2</v>
      </c>
      <c r="C471" s="110">
        <v>0.0010812259090786612</v>
      </c>
      <c r="D471" s="83" t="s">
        <v>2059</v>
      </c>
      <c r="E471" s="83" t="b">
        <v>0</v>
      </c>
      <c r="F471" s="83" t="b">
        <v>0</v>
      </c>
      <c r="G471" s="83" t="b">
        <v>0</v>
      </c>
    </row>
    <row r="472" spans="1:7" ht="15">
      <c r="A472" s="84" t="s">
        <v>1889</v>
      </c>
      <c r="B472" s="83">
        <v>2</v>
      </c>
      <c r="C472" s="110">
        <v>0.0010812259090786612</v>
      </c>
      <c r="D472" s="83" t="s">
        <v>2059</v>
      </c>
      <c r="E472" s="83" t="b">
        <v>0</v>
      </c>
      <c r="F472" s="83" t="b">
        <v>0</v>
      </c>
      <c r="G472" s="83" t="b">
        <v>0</v>
      </c>
    </row>
    <row r="473" spans="1:7" ht="15">
      <c r="A473" s="84" t="s">
        <v>1890</v>
      </c>
      <c r="B473" s="83">
        <v>2</v>
      </c>
      <c r="C473" s="110">
        <v>0.0010812259090786612</v>
      </c>
      <c r="D473" s="83" t="s">
        <v>2059</v>
      </c>
      <c r="E473" s="83" t="b">
        <v>0</v>
      </c>
      <c r="F473" s="83" t="b">
        <v>0</v>
      </c>
      <c r="G473" s="83" t="b">
        <v>0</v>
      </c>
    </row>
    <row r="474" spans="1:7" ht="15">
      <c r="A474" s="84" t="s">
        <v>1891</v>
      </c>
      <c r="B474" s="83">
        <v>2</v>
      </c>
      <c r="C474" s="110">
        <v>0.0012314030084370953</v>
      </c>
      <c r="D474" s="83" t="s">
        <v>2059</v>
      </c>
      <c r="E474" s="83" t="b">
        <v>0</v>
      </c>
      <c r="F474" s="83" t="b">
        <v>0</v>
      </c>
      <c r="G474" s="83" t="b">
        <v>0</v>
      </c>
    </row>
    <row r="475" spans="1:7" ht="15">
      <c r="A475" s="84" t="s">
        <v>1892</v>
      </c>
      <c r="B475" s="83">
        <v>2</v>
      </c>
      <c r="C475" s="110">
        <v>0.0010812259090786612</v>
      </c>
      <c r="D475" s="83" t="s">
        <v>2059</v>
      </c>
      <c r="E475" s="83" t="b">
        <v>0</v>
      </c>
      <c r="F475" s="83" t="b">
        <v>0</v>
      </c>
      <c r="G475" s="83" t="b">
        <v>0</v>
      </c>
    </row>
    <row r="476" spans="1:7" ht="15">
      <c r="A476" s="84" t="s">
        <v>1893</v>
      </c>
      <c r="B476" s="83">
        <v>2</v>
      </c>
      <c r="C476" s="110">
        <v>0.0010812259090786612</v>
      </c>
      <c r="D476" s="83" t="s">
        <v>2059</v>
      </c>
      <c r="E476" s="83" t="b">
        <v>0</v>
      </c>
      <c r="F476" s="83" t="b">
        <v>0</v>
      </c>
      <c r="G476" s="83" t="b">
        <v>0</v>
      </c>
    </row>
    <row r="477" spans="1:7" ht="15">
      <c r="A477" s="84" t="s">
        <v>1894</v>
      </c>
      <c r="B477" s="83">
        <v>2</v>
      </c>
      <c r="C477" s="110">
        <v>0.0012314030084370953</v>
      </c>
      <c r="D477" s="83" t="s">
        <v>2059</v>
      </c>
      <c r="E477" s="83" t="b">
        <v>0</v>
      </c>
      <c r="F477" s="83" t="b">
        <v>0</v>
      </c>
      <c r="G477" s="83" t="b">
        <v>0</v>
      </c>
    </row>
    <row r="478" spans="1:7" ht="15">
      <c r="A478" s="84" t="s">
        <v>1895</v>
      </c>
      <c r="B478" s="83">
        <v>2</v>
      </c>
      <c r="C478" s="110">
        <v>0.0012314030084370953</v>
      </c>
      <c r="D478" s="83" t="s">
        <v>2059</v>
      </c>
      <c r="E478" s="83" t="b">
        <v>0</v>
      </c>
      <c r="F478" s="83" t="b">
        <v>0</v>
      </c>
      <c r="G478" s="83" t="b">
        <v>0</v>
      </c>
    </row>
    <row r="479" spans="1:7" ht="15">
      <c r="A479" s="84" t="s">
        <v>1896</v>
      </c>
      <c r="B479" s="83">
        <v>2</v>
      </c>
      <c r="C479" s="110">
        <v>0.0012314030084370953</v>
      </c>
      <c r="D479" s="83" t="s">
        <v>2059</v>
      </c>
      <c r="E479" s="83" t="b">
        <v>0</v>
      </c>
      <c r="F479" s="83" t="b">
        <v>0</v>
      </c>
      <c r="G479" s="83" t="b">
        <v>0</v>
      </c>
    </row>
    <row r="480" spans="1:7" ht="15">
      <c r="A480" s="84" t="s">
        <v>1897</v>
      </c>
      <c r="B480" s="83">
        <v>2</v>
      </c>
      <c r="C480" s="110">
        <v>0.0010812259090786612</v>
      </c>
      <c r="D480" s="83" t="s">
        <v>2059</v>
      </c>
      <c r="E480" s="83" t="b">
        <v>0</v>
      </c>
      <c r="F480" s="83" t="b">
        <v>0</v>
      </c>
      <c r="G480" s="83" t="b">
        <v>0</v>
      </c>
    </row>
    <row r="481" spans="1:7" ht="15">
      <c r="A481" s="84" t="s">
        <v>1898</v>
      </c>
      <c r="B481" s="83">
        <v>2</v>
      </c>
      <c r="C481" s="110">
        <v>0.0010812259090786612</v>
      </c>
      <c r="D481" s="83" t="s">
        <v>2059</v>
      </c>
      <c r="E481" s="83" t="b">
        <v>0</v>
      </c>
      <c r="F481" s="83" t="b">
        <v>0</v>
      </c>
      <c r="G481" s="83" t="b">
        <v>0</v>
      </c>
    </row>
    <row r="482" spans="1:7" ht="15">
      <c r="A482" s="84" t="s">
        <v>1899</v>
      </c>
      <c r="B482" s="83">
        <v>2</v>
      </c>
      <c r="C482" s="110">
        <v>0.0010812259090786612</v>
      </c>
      <c r="D482" s="83" t="s">
        <v>2059</v>
      </c>
      <c r="E482" s="83" t="b">
        <v>0</v>
      </c>
      <c r="F482" s="83" t="b">
        <v>0</v>
      </c>
      <c r="G482" s="83" t="b">
        <v>0</v>
      </c>
    </row>
    <row r="483" spans="1:7" ht="15">
      <c r="A483" s="84" t="s">
        <v>1900</v>
      </c>
      <c r="B483" s="83">
        <v>2</v>
      </c>
      <c r="C483" s="110">
        <v>0.0010812259090786612</v>
      </c>
      <c r="D483" s="83" t="s">
        <v>2059</v>
      </c>
      <c r="E483" s="83" t="b">
        <v>0</v>
      </c>
      <c r="F483" s="83" t="b">
        <v>0</v>
      </c>
      <c r="G483" s="83" t="b">
        <v>0</v>
      </c>
    </row>
    <row r="484" spans="1:7" ht="15">
      <c r="A484" s="84" t="s">
        <v>1901</v>
      </c>
      <c r="B484" s="83">
        <v>2</v>
      </c>
      <c r="C484" s="110">
        <v>0.0012314030084370953</v>
      </c>
      <c r="D484" s="83" t="s">
        <v>2059</v>
      </c>
      <c r="E484" s="83" t="b">
        <v>0</v>
      </c>
      <c r="F484" s="83" t="b">
        <v>0</v>
      </c>
      <c r="G484" s="83" t="b">
        <v>0</v>
      </c>
    </row>
    <row r="485" spans="1:7" ht="15">
      <c r="A485" s="84" t="s">
        <v>1902</v>
      </c>
      <c r="B485" s="83">
        <v>2</v>
      </c>
      <c r="C485" s="110">
        <v>0.0012314030084370953</v>
      </c>
      <c r="D485" s="83" t="s">
        <v>2059</v>
      </c>
      <c r="E485" s="83" t="b">
        <v>0</v>
      </c>
      <c r="F485" s="83" t="b">
        <v>0</v>
      </c>
      <c r="G485" s="83" t="b">
        <v>0</v>
      </c>
    </row>
    <row r="486" spans="1:7" ht="15">
      <c r="A486" s="84" t="s">
        <v>1903</v>
      </c>
      <c r="B486" s="83">
        <v>2</v>
      </c>
      <c r="C486" s="110">
        <v>0.0010812259090786612</v>
      </c>
      <c r="D486" s="83" t="s">
        <v>2059</v>
      </c>
      <c r="E486" s="83" t="b">
        <v>0</v>
      </c>
      <c r="F486" s="83" t="b">
        <v>0</v>
      </c>
      <c r="G486" s="83" t="b">
        <v>0</v>
      </c>
    </row>
    <row r="487" spans="1:7" ht="15">
      <c r="A487" s="84" t="s">
        <v>1904</v>
      </c>
      <c r="B487" s="83">
        <v>2</v>
      </c>
      <c r="C487" s="110">
        <v>0.0010812259090786612</v>
      </c>
      <c r="D487" s="83" t="s">
        <v>2059</v>
      </c>
      <c r="E487" s="83" t="b">
        <v>0</v>
      </c>
      <c r="F487" s="83" t="b">
        <v>0</v>
      </c>
      <c r="G487" s="83" t="b">
        <v>0</v>
      </c>
    </row>
    <row r="488" spans="1:7" ht="15">
      <c r="A488" s="84" t="s">
        <v>1905</v>
      </c>
      <c r="B488" s="83">
        <v>2</v>
      </c>
      <c r="C488" s="110">
        <v>0.0010812259090786612</v>
      </c>
      <c r="D488" s="83" t="s">
        <v>2059</v>
      </c>
      <c r="E488" s="83" t="b">
        <v>1</v>
      </c>
      <c r="F488" s="83" t="b">
        <v>0</v>
      </c>
      <c r="G488" s="83" t="b">
        <v>0</v>
      </c>
    </row>
    <row r="489" spans="1:7" ht="15">
      <c r="A489" s="84" t="s">
        <v>1906</v>
      </c>
      <c r="B489" s="83">
        <v>2</v>
      </c>
      <c r="C489" s="110">
        <v>0.0010812259090786612</v>
      </c>
      <c r="D489" s="83" t="s">
        <v>2059</v>
      </c>
      <c r="E489" s="83" t="b">
        <v>0</v>
      </c>
      <c r="F489" s="83" t="b">
        <v>0</v>
      </c>
      <c r="G489" s="83" t="b">
        <v>0</v>
      </c>
    </row>
    <row r="490" spans="1:7" ht="15">
      <c r="A490" s="84" t="s">
        <v>1907</v>
      </c>
      <c r="B490" s="83">
        <v>2</v>
      </c>
      <c r="C490" s="110">
        <v>0.0012314030084370953</v>
      </c>
      <c r="D490" s="83" t="s">
        <v>2059</v>
      </c>
      <c r="E490" s="83" t="b">
        <v>0</v>
      </c>
      <c r="F490" s="83" t="b">
        <v>0</v>
      </c>
      <c r="G490" s="83" t="b">
        <v>0</v>
      </c>
    </row>
    <row r="491" spans="1:7" ht="15">
      <c r="A491" s="84" t="s">
        <v>1908</v>
      </c>
      <c r="B491" s="83">
        <v>2</v>
      </c>
      <c r="C491" s="110">
        <v>0.0010812259090786612</v>
      </c>
      <c r="D491" s="83" t="s">
        <v>2059</v>
      </c>
      <c r="E491" s="83" t="b">
        <v>0</v>
      </c>
      <c r="F491" s="83" t="b">
        <v>0</v>
      </c>
      <c r="G491" s="83" t="b">
        <v>0</v>
      </c>
    </row>
    <row r="492" spans="1:7" ht="15">
      <c r="A492" s="84" t="s">
        <v>1909</v>
      </c>
      <c r="B492" s="83">
        <v>2</v>
      </c>
      <c r="C492" s="110">
        <v>0.0010812259090786612</v>
      </c>
      <c r="D492" s="83" t="s">
        <v>2059</v>
      </c>
      <c r="E492" s="83" t="b">
        <v>0</v>
      </c>
      <c r="F492" s="83" t="b">
        <v>0</v>
      </c>
      <c r="G492" s="83" t="b">
        <v>0</v>
      </c>
    </row>
    <row r="493" spans="1:7" ht="15">
      <c r="A493" s="84" t="s">
        <v>1910</v>
      </c>
      <c r="B493" s="83">
        <v>2</v>
      </c>
      <c r="C493" s="110">
        <v>0.0010812259090786612</v>
      </c>
      <c r="D493" s="83" t="s">
        <v>2059</v>
      </c>
      <c r="E493" s="83" t="b">
        <v>0</v>
      </c>
      <c r="F493" s="83" t="b">
        <v>0</v>
      </c>
      <c r="G493" s="83" t="b">
        <v>0</v>
      </c>
    </row>
    <row r="494" spans="1:7" ht="15">
      <c r="A494" s="84" t="s">
        <v>1911</v>
      </c>
      <c r="B494" s="83">
        <v>2</v>
      </c>
      <c r="C494" s="110">
        <v>0.0012314030084370953</v>
      </c>
      <c r="D494" s="83" t="s">
        <v>2059</v>
      </c>
      <c r="E494" s="83" t="b">
        <v>0</v>
      </c>
      <c r="F494" s="83" t="b">
        <v>0</v>
      </c>
      <c r="G494" s="83" t="b">
        <v>0</v>
      </c>
    </row>
    <row r="495" spans="1:7" ht="15">
      <c r="A495" s="84" t="s">
        <v>1912</v>
      </c>
      <c r="B495" s="83">
        <v>2</v>
      </c>
      <c r="C495" s="110">
        <v>0.0012314030084370953</v>
      </c>
      <c r="D495" s="83" t="s">
        <v>2059</v>
      </c>
      <c r="E495" s="83" t="b">
        <v>0</v>
      </c>
      <c r="F495" s="83" t="b">
        <v>0</v>
      </c>
      <c r="G495" s="83" t="b">
        <v>0</v>
      </c>
    </row>
    <row r="496" spans="1:7" ht="15">
      <c r="A496" s="84" t="s">
        <v>1913</v>
      </c>
      <c r="B496" s="83">
        <v>2</v>
      </c>
      <c r="C496" s="110">
        <v>0.0010812259090786612</v>
      </c>
      <c r="D496" s="83" t="s">
        <v>2059</v>
      </c>
      <c r="E496" s="83" t="b">
        <v>0</v>
      </c>
      <c r="F496" s="83" t="b">
        <v>0</v>
      </c>
      <c r="G496" s="83" t="b">
        <v>0</v>
      </c>
    </row>
    <row r="497" spans="1:7" ht="15">
      <c r="A497" s="84" t="s">
        <v>1914</v>
      </c>
      <c r="B497" s="83">
        <v>2</v>
      </c>
      <c r="C497" s="110">
        <v>0.0012314030084370953</v>
      </c>
      <c r="D497" s="83" t="s">
        <v>2059</v>
      </c>
      <c r="E497" s="83" t="b">
        <v>0</v>
      </c>
      <c r="F497" s="83" t="b">
        <v>0</v>
      </c>
      <c r="G497" s="83" t="b">
        <v>0</v>
      </c>
    </row>
    <row r="498" spans="1:7" ht="15">
      <c r="A498" s="84" t="s">
        <v>1915</v>
      </c>
      <c r="B498" s="83">
        <v>2</v>
      </c>
      <c r="C498" s="110">
        <v>0.0010812259090786612</v>
      </c>
      <c r="D498" s="83" t="s">
        <v>2059</v>
      </c>
      <c r="E498" s="83" t="b">
        <v>0</v>
      </c>
      <c r="F498" s="83" t="b">
        <v>0</v>
      </c>
      <c r="G498" s="83" t="b">
        <v>0</v>
      </c>
    </row>
    <row r="499" spans="1:7" ht="15">
      <c r="A499" s="84" t="s">
        <v>1916</v>
      </c>
      <c r="B499" s="83">
        <v>2</v>
      </c>
      <c r="C499" s="110">
        <v>0.0010812259090786612</v>
      </c>
      <c r="D499" s="83" t="s">
        <v>2059</v>
      </c>
      <c r="E499" s="83" t="b">
        <v>0</v>
      </c>
      <c r="F499" s="83" t="b">
        <v>0</v>
      </c>
      <c r="G499" s="83" t="b">
        <v>0</v>
      </c>
    </row>
    <row r="500" spans="1:7" ht="15">
      <c r="A500" s="84" t="s">
        <v>1917</v>
      </c>
      <c r="B500" s="83">
        <v>2</v>
      </c>
      <c r="C500" s="110">
        <v>0.0010812259090786612</v>
      </c>
      <c r="D500" s="83" t="s">
        <v>2059</v>
      </c>
      <c r="E500" s="83" t="b">
        <v>0</v>
      </c>
      <c r="F500" s="83" t="b">
        <v>0</v>
      </c>
      <c r="G500" s="83" t="b">
        <v>0</v>
      </c>
    </row>
    <row r="501" spans="1:7" ht="15">
      <c r="A501" s="84" t="s">
        <v>1918</v>
      </c>
      <c r="B501" s="83">
        <v>2</v>
      </c>
      <c r="C501" s="110">
        <v>0.0010812259090786612</v>
      </c>
      <c r="D501" s="83" t="s">
        <v>2059</v>
      </c>
      <c r="E501" s="83" t="b">
        <v>1</v>
      </c>
      <c r="F501" s="83" t="b">
        <v>0</v>
      </c>
      <c r="G501" s="83" t="b">
        <v>0</v>
      </c>
    </row>
    <row r="502" spans="1:7" ht="15">
      <c r="A502" s="84" t="s">
        <v>1919</v>
      </c>
      <c r="B502" s="83">
        <v>2</v>
      </c>
      <c r="C502" s="110">
        <v>0.0010812259090786612</v>
      </c>
      <c r="D502" s="83" t="s">
        <v>2059</v>
      </c>
      <c r="E502" s="83" t="b">
        <v>0</v>
      </c>
      <c r="F502" s="83" t="b">
        <v>0</v>
      </c>
      <c r="G502" s="83" t="b">
        <v>0</v>
      </c>
    </row>
    <row r="503" spans="1:7" ht="15">
      <c r="A503" s="84" t="s">
        <v>1920</v>
      </c>
      <c r="B503" s="83">
        <v>2</v>
      </c>
      <c r="C503" s="110">
        <v>0.0012314030084370953</v>
      </c>
      <c r="D503" s="83" t="s">
        <v>2059</v>
      </c>
      <c r="E503" s="83" t="b">
        <v>0</v>
      </c>
      <c r="F503" s="83" t="b">
        <v>0</v>
      </c>
      <c r="G503" s="83" t="b">
        <v>0</v>
      </c>
    </row>
    <row r="504" spans="1:7" ht="15">
      <c r="A504" s="84" t="s">
        <v>1921</v>
      </c>
      <c r="B504" s="83">
        <v>2</v>
      </c>
      <c r="C504" s="110">
        <v>0.0010812259090786612</v>
      </c>
      <c r="D504" s="83" t="s">
        <v>2059</v>
      </c>
      <c r="E504" s="83" t="b">
        <v>0</v>
      </c>
      <c r="F504" s="83" t="b">
        <v>0</v>
      </c>
      <c r="G504" s="83" t="b">
        <v>0</v>
      </c>
    </row>
    <row r="505" spans="1:7" ht="15">
      <c r="A505" s="84" t="s">
        <v>1922</v>
      </c>
      <c r="B505" s="83">
        <v>2</v>
      </c>
      <c r="C505" s="110">
        <v>0.0010812259090786612</v>
      </c>
      <c r="D505" s="83" t="s">
        <v>2059</v>
      </c>
      <c r="E505" s="83" t="b">
        <v>0</v>
      </c>
      <c r="F505" s="83" t="b">
        <v>0</v>
      </c>
      <c r="G505" s="83" t="b">
        <v>0</v>
      </c>
    </row>
    <row r="506" spans="1:7" ht="15">
      <c r="A506" s="84" t="s">
        <v>1923</v>
      </c>
      <c r="B506" s="83">
        <v>2</v>
      </c>
      <c r="C506" s="110">
        <v>0.0010812259090786612</v>
      </c>
      <c r="D506" s="83" t="s">
        <v>2059</v>
      </c>
      <c r="E506" s="83" t="b">
        <v>0</v>
      </c>
      <c r="F506" s="83" t="b">
        <v>0</v>
      </c>
      <c r="G506" s="83" t="b">
        <v>0</v>
      </c>
    </row>
    <row r="507" spans="1:7" ht="15">
      <c r="A507" s="84" t="s">
        <v>1924</v>
      </c>
      <c r="B507" s="83">
        <v>2</v>
      </c>
      <c r="C507" s="110">
        <v>0.0010812259090786612</v>
      </c>
      <c r="D507" s="83" t="s">
        <v>2059</v>
      </c>
      <c r="E507" s="83" t="b">
        <v>0</v>
      </c>
      <c r="F507" s="83" t="b">
        <v>0</v>
      </c>
      <c r="G507" s="83" t="b">
        <v>0</v>
      </c>
    </row>
    <row r="508" spans="1:7" ht="15">
      <c r="A508" s="84" t="s">
        <v>1925</v>
      </c>
      <c r="B508" s="83">
        <v>2</v>
      </c>
      <c r="C508" s="110">
        <v>0.0010812259090786612</v>
      </c>
      <c r="D508" s="83" t="s">
        <v>2059</v>
      </c>
      <c r="E508" s="83" t="b">
        <v>0</v>
      </c>
      <c r="F508" s="83" t="b">
        <v>0</v>
      </c>
      <c r="G508" s="83" t="b">
        <v>0</v>
      </c>
    </row>
    <row r="509" spans="1:7" ht="15">
      <c r="A509" s="84" t="s">
        <v>1926</v>
      </c>
      <c r="B509" s="83">
        <v>2</v>
      </c>
      <c r="C509" s="110">
        <v>0.0010812259090786612</v>
      </c>
      <c r="D509" s="83" t="s">
        <v>2059</v>
      </c>
      <c r="E509" s="83" t="b">
        <v>0</v>
      </c>
      <c r="F509" s="83" t="b">
        <v>0</v>
      </c>
      <c r="G509" s="83" t="b">
        <v>0</v>
      </c>
    </row>
    <row r="510" spans="1:7" ht="15">
      <c r="A510" s="84" t="s">
        <v>1927</v>
      </c>
      <c r="B510" s="83">
        <v>2</v>
      </c>
      <c r="C510" s="110">
        <v>0.0010812259090786612</v>
      </c>
      <c r="D510" s="83" t="s">
        <v>2059</v>
      </c>
      <c r="E510" s="83" t="b">
        <v>0</v>
      </c>
      <c r="F510" s="83" t="b">
        <v>0</v>
      </c>
      <c r="G510" s="83" t="b">
        <v>0</v>
      </c>
    </row>
    <row r="511" spans="1:7" ht="15">
      <c r="A511" s="84" t="s">
        <v>1928</v>
      </c>
      <c r="B511" s="83">
        <v>2</v>
      </c>
      <c r="C511" s="110">
        <v>0.0010812259090786612</v>
      </c>
      <c r="D511" s="83" t="s">
        <v>2059</v>
      </c>
      <c r="E511" s="83" t="b">
        <v>0</v>
      </c>
      <c r="F511" s="83" t="b">
        <v>0</v>
      </c>
      <c r="G511" s="83" t="b">
        <v>0</v>
      </c>
    </row>
    <row r="512" spans="1:7" ht="15">
      <c r="A512" s="84" t="s">
        <v>1929</v>
      </c>
      <c r="B512" s="83">
        <v>2</v>
      </c>
      <c r="C512" s="110">
        <v>0.0010812259090786612</v>
      </c>
      <c r="D512" s="83" t="s">
        <v>2059</v>
      </c>
      <c r="E512" s="83" t="b">
        <v>0</v>
      </c>
      <c r="F512" s="83" t="b">
        <v>0</v>
      </c>
      <c r="G512" s="83" t="b">
        <v>0</v>
      </c>
    </row>
    <row r="513" spans="1:7" ht="15">
      <c r="A513" s="84" t="s">
        <v>1930</v>
      </c>
      <c r="B513" s="83">
        <v>2</v>
      </c>
      <c r="C513" s="110">
        <v>0.0010812259090786612</v>
      </c>
      <c r="D513" s="83" t="s">
        <v>2059</v>
      </c>
      <c r="E513" s="83" t="b">
        <v>0</v>
      </c>
      <c r="F513" s="83" t="b">
        <v>0</v>
      </c>
      <c r="G513" s="83" t="b">
        <v>0</v>
      </c>
    </row>
    <row r="514" spans="1:7" ht="15">
      <c r="A514" s="84" t="s">
        <v>1931</v>
      </c>
      <c r="B514" s="83">
        <v>2</v>
      </c>
      <c r="C514" s="110">
        <v>0.0010812259090786612</v>
      </c>
      <c r="D514" s="83" t="s">
        <v>2059</v>
      </c>
      <c r="E514" s="83" t="b">
        <v>0</v>
      </c>
      <c r="F514" s="83" t="b">
        <v>0</v>
      </c>
      <c r="G514" s="83" t="b">
        <v>0</v>
      </c>
    </row>
    <row r="515" spans="1:7" ht="15">
      <c r="A515" s="84" t="s">
        <v>1932</v>
      </c>
      <c r="B515" s="83">
        <v>2</v>
      </c>
      <c r="C515" s="110">
        <v>0.0010812259090786612</v>
      </c>
      <c r="D515" s="83" t="s">
        <v>2059</v>
      </c>
      <c r="E515" s="83" t="b">
        <v>0</v>
      </c>
      <c r="F515" s="83" t="b">
        <v>0</v>
      </c>
      <c r="G515" s="83" t="b">
        <v>0</v>
      </c>
    </row>
    <row r="516" spans="1:7" ht="15">
      <c r="A516" s="84" t="s">
        <v>1933</v>
      </c>
      <c r="B516" s="83">
        <v>2</v>
      </c>
      <c r="C516" s="110">
        <v>0.0010812259090786612</v>
      </c>
      <c r="D516" s="83" t="s">
        <v>2059</v>
      </c>
      <c r="E516" s="83" t="b">
        <v>0</v>
      </c>
      <c r="F516" s="83" t="b">
        <v>0</v>
      </c>
      <c r="G516" s="83" t="b">
        <v>0</v>
      </c>
    </row>
    <row r="517" spans="1:7" ht="15">
      <c r="A517" s="84" t="s">
        <v>1934</v>
      </c>
      <c r="B517" s="83">
        <v>2</v>
      </c>
      <c r="C517" s="110">
        <v>0.0010812259090786612</v>
      </c>
      <c r="D517" s="83" t="s">
        <v>2059</v>
      </c>
      <c r="E517" s="83" t="b">
        <v>0</v>
      </c>
      <c r="F517" s="83" t="b">
        <v>0</v>
      </c>
      <c r="G517" s="83" t="b">
        <v>0</v>
      </c>
    </row>
    <row r="518" spans="1:7" ht="15">
      <c r="A518" s="84" t="s">
        <v>1935</v>
      </c>
      <c r="B518" s="83">
        <v>2</v>
      </c>
      <c r="C518" s="110">
        <v>0.0012314030084370953</v>
      </c>
      <c r="D518" s="83" t="s">
        <v>2059</v>
      </c>
      <c r="E518" s="83" t="b">
        <v>0</v>
      </c>
      <c r="F518" s="83" t="b">
        <v>0</v>
      </c>
      <c r="G518" s="83" t="b">
        <v>0</v>
      </c>
    </row>
    <row r="519" spans="1:7" ht="15">
      <c r="A519" s="84" t="s">
        <v>1936</v>
      </c>
      <c r="B519" s="83">
        <v>2</v>
      </c>
      <c r="C519" s="110">
        <v>0.0012314030084370953</v>
      </c>
      <c r="D519" s="83" t="s">
        <v>2059</v>
      </c>
      <c r="E519" s="83" t="b">
        <v>0</v>
      </c>
      <c r="F519" s="83" t="b">
        <v>0</v>
      </c>
      <c r="G519" s="83" t="b">
        <v>0</v>
      </c>
    </row>
    <row r="520" spans="1:7" ht="15">
      <c r="A520" s="84" t="s">
        <v>1937</v>
      </c>
      <c r="B520" s="83">
        <v>2</v>
      </c>
      <c r="C520" s="110">
        <v>0.0012314030084370953</v>
      </c>
      <c r="D520" s="83" t="s">
        <v>2059</v>
      </c>
      <c r="E520" s="83" t="b">
        <v>0</v>
      </c>
      <c r="F520" s="83" t="b">
        <v>0</v>
      </c>
      <c r="G520" s="83" t="b">
        <v>0</v>
      </c>
    </row>
    <row r="521" spans="1:7" ht="15">
      <c r="A521" s="84" t="s">
        <v>1938</v>
      </c>
      <c r="B521" s="83">
        <v>2</v>
      </c>
      <c r="C521" s="110">
        <v>0.0012314030084370953</v>
      </c>
      <c r="D521" s="83" t="s">
        <v>2059</v>
      </c>
      <c r="E521" s="83" t="b">
        <v>0</v>
      </c>
      <c r="F521" s="83" t="b">
        <v>0</v>
      </c>
      <c r="G521" s="83" t="b">
        <v>0</v>
      </c>
    </row>
    <row r="522" spans="1:7" ht="15">
      <c r="A522" s="84" t="s">
        <v>1939</v>
      </c>
      <c r="B522" s="83">
        <v>2</v>
      </c>
      <c r="C522" s="110">
        <v>0.0012314030084370953</v>
      </c>
      <c r="D522" s="83" t="s">
        <v>2059</v>
      </c>
      <c r="E522" s="83" t="b">
        <v>0</v>
      </c>
      <c r="F522" s="83" t="b">
        <v>0</v>
      </c>
      <c r="G522" s="83" t="b">
        <v>0</v>
      </c>
    </row>
    <row r="523" spans="1:7" ht="15">
      <c r="A523" s="84" t="s">
        <v>1940</v>
      </c>
      <c r="B523" s="83">
        <v>2</v>
      </c>
      <c r="C523" s="110">
        <v>0.0010812259090786612</v>
      </c>
      <c r="D523" s="83" t="s">
        <v>2059</v>
      </c>
      <c r="E523" s="83" t="b">
        <v>0</v>
      </c>
      <c r="F523" s="83" t="b">
        <v>0</v>
      </c>
      <c r="G523" s="83" t="b">
        <v>0</v>
      </c>
    </row>
    <row r="524" spans="1:7" ht="15">
      <c r="A524" s="84" t="s">
        <v>1941</v>
      </c>
      <c r="B524" s="83">
        <v>2</v>
      </c>
      <c r="C524" s="110">
        <v>0.0010812259090786612</v>
      </c>
      <c r="D524" s="83" t="s">
        <v>2059</v>
      </c>
      <c r="E524" s="83" t="b">
        <v>0</v>
      </c>
      <c r="F524" s="83" t="b">
        <v>0</v>
      </c>
      <c r="G524" s="83" t="b">
        <v>0</v>
      </c>
    </row>
    <row r="525" spans="1:7" ht="15">
      <c r="A525" s="84" t="s">
        <v>1942</v>
      </c>
      <c r="B525" s="83">
        <v>2</v>
      </c>
      <c r="C525" s="110">
        <v>0.0010812259090786612</v>
      </c>
      <c r="D525" s="83" t="s">
        <v>2059</v>
      </c>
      <c r="E525" s="83" t="b">
        <v>0</v>
      </c>
      <c r="F525" s="83" t="b">
        <v>0</v>
      </c>
      <c r="G525" s="83" t="b">
        <v>0</v>
      </c>
    </row>
    <row r="526" spans="1:7" ht="15">
      <c r="A526" s="84" t="s">
        <v>1943</v>
      </c>
      <c r="B526" s="83">
        <v>2</v>
      </c>
      <c r="C526" s="110">
        <v>0.0010812259090786612</v>
      </c>
      <c r="D526" s="83" t="s">
        <v>2059</v>
      </c>
      <c r="E526" s="83" t="b">
        <v>0</v>
      </c>
      <c r="F526" s="83" t="b">
        <v>0</v>
      </c>
      <c r="G526" s="83" t="b">
        <v>0</v>
      </c>
    </row>
    <row r="527" spans="1:7" ht="15">
      <c r="A527" s="84" t="s">
        <v>1944</v>
      </c>
      <c r="B527" s="83">
        <v>2</v>
      </c>
      <c r="C527" s="110">
        <v>0.0010812259090786612</v>
      </c>
      <c r="D527" s="83" t="s">
        <v>2059</v>
      </c>
      <c r="E527" s="83" t="b">
        <v>0</v>
      </c>
      <c r="F527" s="83" t="b">
        <v>0</v>
      </c>
      <c r="G527" s="83" t="b">
        <v>0</v>
      </c>
    </row>
    <row r="528" spans="1:7" ht="15">
      <c r="A528" s="84" t="s">
        <v>1945</v>
      </c>
      <c r="B528" s="83">
        <v>2</v>
      </c>
      <c r="C528" s="110">
        <v>0.0010812259090786612</v>
      </c>
      <c r="D528" s="83" t="s">
        <v>2059</v>
      </c>
      <c r="E528" s="83" t="b">
        <v>0</v>
      </c>
      <c r="F528" s="83" t="b">
        <v>0</v>
      </c>
      <c r="G528" s="83" t="b">
        <v>0</v>
      </c>
    </row>
    <row r="529" spans="1:7" ht="15">
      <c r="A529" s="84" t="s">
        <v>1946</v>
      </c>
      <c r="B529" s="83">
        <v>2</v>
      </c>
      <c r="C529" s="110">
        <v>0.0010812259090786612</v>
      </c>
      <c r="D529" s="83" t="s">
        <v>2059</v>
      </c>
      <c r="E529" s="83" t="b">
        <v>0</v>
      </c>
      <c r="F529" s="83" t="b">
        <v>0</v>
      </c>
      <c r="G529" s="83" t="b">
        <v>0</v>
      </c>
    </row>
    <row r="530" spans="1:7" ht="15">
      <c r="A530" s="84" t="s">
        <v>1947</v>
      </c>
      <c r="B530" s="83">
        <v>2</v>
      </c>
      <c r="C530" s="110">
        <v>0.0010812259090786612</v>
      </c>
      <c r="D530" s="83" t="s">
        <v>2059</v>
      </c>
      <c r="E530" s="83" t="b">
        <v>0</v>
      </c>
      <c r="F530" s="83" t="b">
        <v>0</v>
      </c>
      <c r="G530" s="83" t="b">
        <v>0</v>
      </c>
    </row>
    <row r="531" spans="1:7" ht="15">
      <c r="A531" s="84" t="s">
        <v>1948</v>
      </c>
      <c r="B531" s="83">
        <v>2</v>
      </c>
      <c r="C531" s="110">
        <v>0.0010812259090786612</v>
      </c>
      <c r="D531" s="83" t="s">
        <v>2059</v>
      </c>
      <c r="E531" s="83" t="b">
        <v>0</v>
      </c>
      <c r="F531" s="83" t="b">
        <v>0</v>
      </c>
      <c r="G531" s="83" t="b">
        <v>0</v>
      </c>
    </row>
    <row r="532" spans="1:7" ht="15">
      <c r="A532" s="84" t="s">
        <v>1949</v>
      </c>
      <c r="B532" s="83">
        <v>2</v>
      </c>
      <c r="C532" s="110">
        <v>0.0010812259090786612</v>
      </c>
      <c r="D532" s="83" t="s">
        <v>2059</v>
      </c>
      <c r="E532" s="83" t="b">
        <v>0</v>
      </c>
      <c r="F532" s="83" t="b">
        <v>0</v>
      </c>
      <c r="G532" s="83" t="b">
        <v>0</v>
      </c>
    </row>
    <row r="533" spans="1:7" ht="15">
      <c r="A533" s="84" t="s">
        <v>1950</v>
      </c>
      <c r="B533" s="83">
        <v>2</v>
      </c>
      <c r="C533" s="110">
        <v>0.0010812259090786612</v>
      </c>
      <c r="D533" s="83" t="s">
        <v>2059</v>
      </c>
      <c r="E533" s="83" t="b">
        <v>0</v>
      </c>
      <c r="F533" s="83" t="b">
        <v>0</v>
      </c>
      <c r="G533" s="83" t="b">
        <v>0</v>
      </c>
    </row>
    <row r="534" spans="1:7" ht="15">
      <c r="A534" s="84" t="s">
        <v>1951</v>
      </c>
      <c r="B534" s="83">
        <v>2</v>
      </c>
      <c r="C534" s="110">
        <v>0.0010812259090786612</v>
      </c>
      <c r="D534" s="83" t="s">
        <v>2059</v>
      </c>
      <c r="E534" s="83" t="b">
        <v>0</v>
      </c>
      <c r="F534" s="83" t="b">
        <v>0</v>
      </c>
      <c r="G534" s="83" t="b">
        <v>0</v>
      </c>
    </row>
    <row r="535" spans="1:7" ht="15">
      <c r="A535" s="84" t="s">
        <v>1952</v>
      </c>
      <c r="B535" s="83">
        <v>2</v>
      </c>
      <c r="C535" s="110">
        <v>0.0010812259090786612</v>
      </c>
      <c r="D535" s="83" t="s">
        <v>2059</v>
      </c>
      <c r="E535" s="83" t="b">
        <v>0</v>
      </c>
      <c r="F535" s="83" t="b">
        <v>0</v>
      </c>
      <c r="G535" s="83" t="b">
        <v>0</v>
      </c>
    </row>
    <row r="536" spans="1:7" ht="15">
      <c r="A536" s="84" t="s">
        <v>1953</v>
      </c>
      <c r="B536" s="83">
        <v>2</v>
      </c>
      <c r="C536" s="110">
        <v>0.0010812259090786612</v>
      </c>
      <c r="D536" s="83" t="s">
        <v>2059</v>
      </c>
      <c r="E536" s="83" t="b">
        <v>0</v>
      </c>
      <c r="F536" s="83" t="b">
        <v>0</v>
      </c>
      <c r="G536" s="83" t="b">
        <v>0</v>
      </c>
    </row>
    <row r="537" spans="1:7" ht="15">
      <c r="A537" s="84" t="s">
        <v>1954</v>
      </c>
      <c r="B537" s="83">
        <v>2</v>
      </c>
      <c r="C537" s="110">
        <v>0.0010812259090786612</v>
      </c>
      <c r="D537" s="83" t="s">
        <v>2059</v>
      </c>
      <c r="E537" s="83" t="b">
        <v>0</v>
      </c>
      <c r="F537" s="83" t="b">
        <v>0</v>
      </c>
      <c r="G537" s="83" t="b">
        <v>0</v>
      </c>
    </row>
    <row r="538" spans="1:7" ht="15">
      <c r="A538" s="84" t="s">
        <v>1955</v>
      </c>
      <c r="B538" s="83">
        <v>2</v>
      </c>
      <c r="C538" s="110">
        <v>0.0010812259090786612</v>
      </c>
      <c r="D538" s="83" t="s">
        <v>2059</v>
      </c>
      <c r="E538" s="83" t="b">
        <v>0</v>
      </c>
      <c r="F538" s="83" t="b">
        <v>0</v>
      </c>
      <c r="G538" s="83" t="b">
        <v>0</v>
      </c>
    </row>
    <row r="539" spans="1:7" ht="15">
      <c r="A539" s="84" t="s">
        <v>1956</v>
      </c>
      <c r="B539" s="83">
        <v>2</v>
      </c>
      <c r="C539" s="110">
        <v>0.0010812259090786612</v>
      </c>
      <c r="D539" s="83" t="s">
        <v>2059</v>
      </c>
      <c r="E539" s="83" t="b">
        <v>0</v>
      </c>
      <c r="F539" s="83" t="b">
        <v>0</v>
      </c>
      <c r="G539" s="83" t="b">
        <v>0</v>
      </c>
    </row>
    <row r="540" spans="1:7" ht="15">
      <c r="A540" s="84" t="s">
        <v>1957</v>
      </c>
      <c r="B540" s="83">
        <v>2</v>
      </c>
      <c r="C540" s="110">
        <v>0.0012314030084370953</v>
      </c>
      <c r="D540" s="83" t="s">
        <v>2059</v>
      </c>
      <c r="E540" s="83" t="b">
        <v>0</v>
      </c>
      <c r="F540" s="83" t="b">
        <v>0</v>
      </c>
      <c r="G540" s="83" t="b">
        <v>0</v>
      </c>
    </row>
    <row r="541" spans="1:7" ht="15">
      <c r="A541" s="84" t="s">
        <v>1958</v>
      </c>
      <c r="B541" s="83">
        <v>2</v>
      </c>
      <c r="C541" s="110">
        <v>0.0012314030084370953</v>
      </c>
      <c r="D541" s="83" t="s">
        <v>2059</v>
      </c>
      <c r="E541" s="83" t="b">
        <v>0</v>
      </c>
      <c r="F541" s="83" t="b">
        <v>0</v>
      </c>
      <c r="G541" s="83" t="b">
        <v>0</v>
      </c>
    </row>
    <row r="542" spans="1:7" ht="15">
      <c r="A542" s="84" t="s">
        <v>1959</v>
      </c>
      <c r="B542" s="83">
        <v>2</v>
      </c>
      <c r="C542" s="110">
        <v>0.0012314030084370953</v>
      </c>
      <c r="D542" s="83" t="s">
        <v>2059</v>
      </c>
      <c r="E542" s="83" t="b">
        <v>0</v>
      </c>
      <c r="F542" s="83" t="b">
        <v>0</v>
      </c>
      <c r="G542" s="83" t="b">
        <v>0</v>
      </c>
    </row>
    <row r="543" spans="1:7" ht="15">
      <c r="A543" s="84" t="s">
        <v>1960</v>
      </c>
      <c r="B543" s="83">
        <v>2</v>
      </c>
      <c r="C543" s="110">
        <v>0.0012314030084370953</v>
      </c>
      <c r="D543" s="83" t="s">
        <v>2059</v>
      </c>
      <c r="E543" s="83" t="b">
        <v>0</v>
      </c>
      <c r="F543" s="83" t="b">
        <v>0</v>
      </c>
      <c r="G543" s="83" t="b">
        <v>0</v>
      </c>
    </row>
    <row r="544" spans="1:7" ht="15">
      <c r="A544" s="84" t="s">
        <v>1961</v>
      </c>
      <c r="B544" s="83">
        <v>2</v>
      </c>
      <c r="C544" s="110">
        <v>0.0010812259090786612</v>
      </c>
      <c r="D544" s="83" t="s">
        <v>2059</v>
      </c>
      <c r="E544" s="83" t="b">
        <v>0</v>
      </c>
      <c r="F544" s="83" t="b">
        <v>0</v>
      </c>
      <c r="G544" s="83" t="b">
        <v>0</v>
      </c>
    </row>
    <row r="545" spans="1:7" ht="15">
      <c r="A545" s="84" t="s">
        <v>1962</v>
      </c>
      <c r="B545" s="83">
        <v>2</v>
      </c>
      <c r="C545" s="110">
        <v>0.0010812259090786612</v>
      </c>
      <c r="D545" s="83" t="s">
        <v>2059</v>
      </c>
      <c r="E545" s="83" t="b">
        <v>0</v>
      </c>
      <c r="F545" s="83" t="b">
        <v>0</v>
      </c>
      <c r="G545" s="83" t="b">
        <v>0</v>
      </c>
    </row>
    <row r="546" spans="1:7" ht="15">
      <c r="A546" s="84" t="s">
        <v>1963</v>
      </c>
      <c r="B546" s="83">
        <v>2</v>
      </c>
      <c r="C546" s="110">
        <v>0.0010812259090786612</v>
      </c>
      <c r="D546" s="83" t="s">
        <v>2059</v>
      </c>
      <c r="E546" s="83" t="b">
        <v>0</v>
      </c>
      <c r="F546" s="83" t="b">
        <v>0</v>
      </c>
      <c r="G546" s="83" t="b">
        <v>0</v>
      </c>
    </row>
    <row r="547" spans="1:7" ht="15">
      <c r="A547" s="84" t="s">
        <v>1964</v>
      </c>
      <c r="B547" s="83">
        <v>2</v>
      </c>
      <c r="C547" s="110">
        <v>0.0010812259090786612</v>
      </c>
      <c r="D547" s="83" t="s">
        <v>2059</v>
      </c>
      <c r="E547" s="83" t="b">
        <v>0</v>
      </c>
      <c r="F547" s="83" t="b">
        <v>0</v>
      </c>
      <c r="G547" s="83" t="b">
        <v>0</v>
      </c>
    </row>
    <row r="548" spans="1:7" ht="15">
      <c r="A548" s="84" t="s">
        <v>1965</v>
      </c>
      <c r="B548" s="83">
        <v>2</v>
      </c>
      <c r="C548" s="110">
        <v>0.0010812259090786612</v>
      </c>
      <c r="D548" s="83" t="s">
        <v>2059</v>
      </c>
      <c r="E548" s="83" t="b">
        <v>1</v>
      </c>
      <c r="F548" s="83" t="b">
        <v>0</v>
      </c>
      <c r="G548" s="83" t="b">
        <v>0</v>
      </c>
    </row>
    <row r="549" spans="1:7" ht="15">
      <c r="A549" s="84" t="s">
        <v>1966</v>
      </c>
      <c r="B549" s="83">
        <v>2</v>
      </c>
      <c r="C549" s="110">
        <v>0.0010812259090786612</v>
      </c>
      <c r="D549" s="83" t="s">
        <v>2059</v>
      </c>
      <c r="E549" s="83" t="b">
        <v>0</v>
      </c>
      <c r="F549" s="83" t="b">
        <v>0</v>
      </c>
      <c r="G549" s="83" t="b">
        <v>0</v>
      </c>
    </row>
    <row r="550" spans="1:7" ht="15">
      <c r="A550" s="84" t="s">
        <v>1967</v>
      </c>
      <c r="B550" s="83">
        <v>2</v>
      </c>
      <c r="C550" s="110">
        <v>0.0010812259090786612</v>
      </c>
      <c r="D550" s="83" t="s">
        <v>2059</v>
      </c>
      <c r="E550" s="83" t="b">
        <v>0</v>
      </c>
      <c r="F550" s="83" t="b">
        <v>0</v>
      </c>
      <c r="G550" s="83" t="b">
        <v>0</v>
      </c>
    </row>
    <row r="551" spans="1:7" ht="15">
      <c r="A551" s="84" t="s">
        <v>1968</v>
      </c>
      <c r="B551" s="83">
        <v>2</v>
      </c>
      <c r="C551" s="110">
        <v>0.0010812259090786612</v>
      </c>
      <c r="D551" s="83" t="s">
        <v>2059</v>
      </c>
      <c r="E551" s="83" t="b">
        <v>0</v>
      </c>
      <c r="F551" s="83" t="b">
        <v>0</v>
      </c>
      <c r="G551" s="83" t="b">
        <v>0</v>
      </c>
    </row>
    <row r="552" spans="1:7" ht="15">
      <c r="A552" s="84" t="s">
        <v>1969</v>
      </c>
      <c r="B552" s="83">
        <v>2</v>
      </c>
      <c r="C552" s="110">
        <v>0.0012314030084370953</v>
      </c>
      <c r="D552" s="83" t="s">
        <v>2059</v>
      </c>
      <c r="E552" s="83" t="b">
        <v>0</v>
      </c>
      <c r="F552" s="83" t="b">
        <v>0</v>
      </c>
      <c r="G552" s="83" t="b">
        <v>0</v>
      </c>
    </row>
    <row r="553" spans="1:7" ht="15">
      <c r="A553" s="84" t="s">
        <v>1970</v>
      </c>
      <c r="B553" s="83">
        <v>2</v>
      </c>
      <c r="C553" s="110">
        <v>0.0012314030084370953</v>
      </c>
      <c r="D553" s="83" t="s">
        <v>2059</v>
      </c>
      <c r="E553" s="83" t="b">
        <v>1</v>
      </c>
      <c r="F553" s="83" t="b">
        <v>0</v>
      </c>
      <c r="G553" s="83" t="b">
        <v>0</v>
      </c>
    </row>
    <row r="554" spans="1:7" ht="15">
      <c r="A554" s="84" t="s">
        <v>1971</v>
      </c>
      <c r="B554" s="83">
        <v>2</v>
      </c>
      <c r="C554" s="110">
        <v>0.0010812259090786612</v>
      </c>
      <c r="D554" s="83" t="s">
        <v>2059</v>
      </c>
      <c r="E554" s="83" t="b">
        <v>0</v>
      </c>
      <c r="F554" s="83" t="b">
        <v>0</v>
      </c>
      <c r="G554" s="83" t="b">
        <v>0</v>
      </c>
    </row>
    <row r="555" spans="1:7" ht="15">
      <c r="A555" s="84" t="s">
        <v>1972</v>
      </c>
      <c r="B555" s="83">
        <v>2</v>
      </c>
      <c r="C555" s="110">
        <v>0.0012314030084370953</v>
      </c>
      <c r="D555" s="83" t="s">
        <v>2059</v>
      </c>
      <c r="E555" s="83" t="b">
        <v>0</v>
      </c>
      <c r="F555" s="83" t="b">
        <v>0</v>
      </c>
      <c r="G555" s="83" t="b">
        <v>0</v>
      </c>
    </row>
    <row r="556" spans="1:7" ht="15">
      <c r="A556" s="84" t="s">
        <v>1973</v>
      </c>
      <c r="B556" s="83">
        <v>2</v>
      </c>
      <c r="C556" s="110">
        <v>0.0012314030084370953</v>
      </c>
      <c r="D556" s="83" t="s">
        <v>2059</v>
      </c>
      <c r="E556" s="83" t="b">
        <v>0</v>
      </c>
      <c r="F556" s="83" t="b">
        <v>0</v>
      </c>
      <c r="G556" s="83" t="b">
        <v>0</v>
      </c>
    </row>
    <row r="557" spans="1:7" ht="15">
      <c r="A557" s="84" t="s">
        <v>1974</v>
      </c>
      <c r="B557" s="83">
        <v>2</v>
      </c>
      <c r="C557" s="110">
        <v>0.0012314030084370953</v>
      </c>
      <c r="D557" s="83" t="s">
        <v>2059</v>
      </c>
      <c r="E557" s="83" t="b">
        <v>0</v>
      </c>
      <c r="F557" s="83" t="b">
        <v>0</v>
      </c>
      <c r="G557" s="83" t="b">
        <v>0</v>
      </c>
    </row>
    <row r="558" spans="1:7" ht="15">
      <c r="A558" s="84" t="s">
        <v>1975</v>
      </c>
      <c r="B558" s="83">
        <v>2</v>
      </c>
      <c r="C558" s="110">
        <v>0.0010812259090786612</v>
      </c>
      <c r="D558" s="83" t="s">
        <v>2059</v>
      </c>
      <c r="E558" s="83" t="b">
        <v>0</v>
      </c>
      <c r="F558" s="83" t="b">
        <v>0</v>
      </c>
      <c r="G558" s="83" t="b">
        <v>0</v>
      </c>
    </row>
    <row r="559" spans="1:7" ht="15">
      <c r="A559" s="84" t="s">
        <v>1976</v>
      </c>
      <c r="B559" s="83">
        <v>2</v>
      </c>
      <c r="C559" s="110">
        <v>0.0010812259090786612</v>
      </c>
      <c r="D559" s="83" t="s">
        <v>2059</v>
      </c>
      <c r="E559" s="83" t="b">
        <v>0</v>
      </c>
      <c r="F559" s="83" t="b">
        <v>0</v>
      </c>
      <c r="G559" s="83" t="b">
        <v>0</v>
      </c>
    </row>
    <row r="560" spans="1:7" ht="15">
      <c r="A560" s="84" t="s">
        <v>1977</v>
      </c>
      <c r="B560" s="83">
        <v>2</v>
      </c>
      <c r="C560" s="110">
        <v>0.0010812259090786612</v>
      </c>
      <c r="D560" s="83" t="s">
        <v>2059</v>
      </c>
      <c r="E560" s="83" t="b">
        <v>0</v>
      </c>
      <c r="F560" s="83" t="b">
        <v>0</v>
      </c>
      <c r="G560" s="83" t="b">
        <v>0</v>
      </c>
    </row>
    <row r="561" spans="1:7" ht="15">
      <c r="A561" s="84" t="s">
        <v>1978</v>
      </c>
      <c r="B561" s="83">
        <v>2</v>
      </c>
      <c r="C561" s="110">
        <v>0.0012314030084370953</v>
      </c>
      <c r="D561" s="83" t="s">
        <v>2059</v>
      </c>
      <c r="E561" s="83" t="b">
        <v>0</v>
      </c>
      <c r="F561" s="83" t="b">
        <v>0</v>
      </c>
      <c r="G561" s="83" t="b">
        <v>0</v>
      </c>
    </row>
    <row r="562" spans="1:7" ht="15">
      <c r="A562" s="84" t="s">
        <v>1979</v>
      </c>
      <c r="B562" s="83">
        <v>2</v>
      </c>
      <c r="C562" s="110">
        <v>0.0012314030084370953</v>
      </c>
      <c r="D562" s="83" t="s">
        <v>2059</v>
      </c>
      <c r="E562" s="83" t="b">
        <v>0</v>
      </c>
      <c r="F562" s="83" t="b">
        <v>0</v>
      </c>
      <c r="G562" s="83" t="b">
        <v>0</v>
      </c>
    </row>
    <row r="563" spans="1:7" ht="15">
      <c r="A563" s="84" t="s">
        <v>1980</v>
      </c>
      <c r="B563" s="83">
        <v>2</v>
      </c>
      <c r="C563" s="110">
        <v>0.0010812259090786612</v>
      </c>
      <c r="D563" s="83" t="s">
        <v>2059</v>
      </c>
      <c r="E563" s="83" t="b">
        <v>0</v>
      </c>
      <c r="F563" s="83" t="b">
        <v>0</v>
      </c>
      <c r="G563" s="83" t="b">
        <v>0</v>
      </c>
    </row>
    <row r="564" spans="1:7" ht="15">
      <c r="A564" s="84" t="s">
        <v>1981</v>
      </c>
      <c r="B564" s="83">
        <v>2</v>
      </c>
      <c r="C564" s="110">
        <v>0.0010812259090786612</v>
      </c>
      <c r="D564" s="83" t="s">
        <v>2059</v>
      </c>
      <c r="E564" s="83" t="b">
        <v>0</v>
      </c>
      <c r="F564" s="83" t="b">
        <v>0</v>
      </c>
      <c r="G564" s="83" t="b">
        <v>0</v>
      </c>
    </row>
    <row r="565" spans="1:7" ht="15">
      <c r="A565" s="84" t="s">
        <v>1982</v>
      </c>
      <c r="B565" s="83">
        <v>2</v>
      </c>
      <c r="C565" s="110">
        <v>0.0010812259090786612</v>
      </c>
      <c r="D565" s="83" t="s">
        <v>2059</v>
      </c>
      <c r="E565" s="83" t="b">
        <v>0</v>
      </c>
      <c r="F565" s="83" t="b">
        <v>0</v>
      </c>
      <c r="G565" s="83" t="b">
        <v>0</v>
      </c>
    </row>
    <row r="566" spans="1:7" ht="15">
      <c r="A566" s="84" t="s">
        <v>1983</v>
      </c>
      <c r="B566" s="83">
        <v>2</v>
      </c>
      <c r="C566" s="110">
        <v>0.0010812259090786612</v>
      </c>
      <c r="D566" s="83" t="s">
        <v>2059</v>
      </c>
      <c r="E566" s="83" t="b">
        <v>0</v>
      </c>
      <c r="F566" s="83" t="b">
        <v>0</v>
      </c>
      <c r="G566" s="83" t="b">
        <v>0</v>
      </c>
    </row>
    <row r="567" spans="1:7" ht="15">
      <c r="A567" s="84" t="s">
        <v>1984</v>
      </c>
      <c r="B567" s="83">
        <v>2</v>
      </c>
      <c r="C567" s="110">
        <v>0.0010812259090786612</v>
      </c>
      <c r="D567" s="83" t="s">
        <v>2059</v>
      </c>
      <c r="E567" s="83" t="b">
        <v>0</v>
      </c>
      <c r="F567" s="83" t="b">
        <v>0</v>
      </c>
      <c r="G567" s="83" t="b">
        <v>0</v>
      </c>
    </row>
    <row r="568" spans="1:7" ht="15">
      <c r="A568" s="84" t="s">
        <v>1985</v>
      </c>
      <c r="B568" s="83">
        <v>2</v>
      </c>
      <c r="C568" s="110">
        <v>0.0010812259090786612</v>
      </c>
      <c r="D568" s="83" t="s">
        <v>2059</v>
      </c>
      <c r="E568" s="83" t="b">
        <v>0</v>
      </c>
      <c r="F568" s="83" t="b">
        <v>0</v>
      </c>
      <c r="G568" s="83" t="b">
        <v>0</v>
      </c>
    </row>
    <row r="569" spans="1:7" ht="15">
      <c r="A569" s="84" t="s">
        <v>1986</v>
      </c>
      <c r="B569" s="83">
        <v>2</v>
      </c>
      <c r="C569" s="110">
        <v>0.0010812259090786612</v>
      </c>
      <c r="D569" s="83" t="s">
        <v>2059</v>
      </c>
      <c r="E569" s="83" t="b">
        <v>0</v>
      </c>
      <c r="F569" s="83" t="b">
        <v>0</v>
      </c>
      <c r="G569" s="83" t="b">
        <v>0</v>
      </c>
    </row>
    <row r="570" spans="1:7" ht="15">
      <c r="A570" s="84" t="s">
        <v>1987</v>
      </c>
      <c r="B570" s="83">
        <v>2</v>
      </c>
      <c r="C570" s="110">
        <v>0.0012314030084370953</v>
      </c>
      <c r="D570" s="83" t="s">
        <v>2059</v>
      </c>
      <c r="E570" s="83" t="b">
        <v>0</v>
      </c>
      <c r="F570" s="83" t="b">
        <v>0</v>
      </c>
      <c r="G570" s="83" t="b">
        <v>0</v>
      </c>
    </row>
    <row r="571" spans="1:7" ht="15">
      <c r="A571" s="84" t="s">
        <v>1988</v>
      </c>
      <c r="B571" s="83">
        <v>2</v>
      </c>
      <c r="C571" s="110">
        <v>0.0010812259090786612</v>
      </c>
      <c r="D571" s="83" t="s">
        <v>2059</v>
      </c>
      <c r="E571" s="83" t="b">
        <v>0</v>
      </c>
      <c r="F571" s="83" t="b">
        <v>0</v>
      </c>
      <c r="G571" s="83" t="b">
        <v>0</v>
      </c>
    </row>
    <row r="572" spans="1:7" ht="15">
      <c r="A572" s="84" t="s">
        <v>1989</v>
      </c>
      <c r="B572" s="83">
        <v>2</v>
      </c>
      <c r="C572" s="110">
        <v>0.0010812259090786612</v>
      </c>
      <c r="D572" s="83" t="s">
        <v>2059</v>
      </c>
      <c r="E572" s="83" t="b">
        <v>0</v>
      </c>
      <c r="F572" s="83" t="b">
        <v>0</v>
      </c>
      <c r="G572" s="83" t="b">
        <v>0</v>
      </c>
    </row>
    <row r="573" spans="1:7" ht="15">
      <c r="A573" s="84" t="s">
        <v>1990</v>
      </c>
      <c r="B573" s="83">
        <v>2</v>
      </c>
      <c r="C573" s="110">
        <v>0.0010812259090786612</v>
      </c>
      <c r="D573" s="83" t="s">
        <v>2059</v>
      </c>
      <c r="E573" s="83" t="b">
        <v>0</v>
      </c>
      <c r="F573" s="83" t="b">
        <v>0</v>
      </c>
      <c r="G573" s="83" t="b">
        <v>0</v>
      </c>
    </row>
    <row r="574" spans="1:7" ht="15">
      <c r="A574" s="84" t="s">
        <v>1991</v>
      </c>
      <c r="B574" s="83">
        <v>2</v>
      </c>
      <c r="C574" s="110">
        <v>0.0010812259090786612</v>
      </c>
      <c r="D574" s="83" t="s">
        <v>2059</v>
      </c>
      <c r="E574" s="83" t="b">
        <v>0</v>
      </c>
      <c r="F574" s="83" t="b">
        <v>0</v>
      </c>
      <c r="G574" s="83" t="b">
        <v>0</v>
      </c>
    </row>
    <row r="575" spans="1:7" ht="15">
      <c r="A575" s="84" t="s">
        <v>1992</v>
      </c>
      <c r="B575" s="83">
        <v>2</v>
      </c>
      <c r="C575" s="110">
        <v>0.0010812259090786612</v>
      </c>
      <c r="D575" s="83" t="s">
        <v>2059</v>
      </c>
      <c r="E575" s="83" t="b">
        <v>0</v>
      </c>
      <c r="F575" s="83" t="b">
        <v>0</v>
      </c>
      <c r="G575" s="83" t="b">
        <v>0</v>
      </c>
    </row>
    <row r="576" spans="1:7" ht="15">
      <c r="A576" s="84" t="s">
        <v>1993</v>
      </c>
      <c r="B576" s="83">
        <v>2</v>
      </c>
      <c r="C576" s="110">
        <v>0.0010812259090786612</v>
      </c>
      <c r="D576" s="83" t="s">
        <v>2059</v>
      </c>
      <c r="E576" s="83" t="b">
        <v>0</v>
      </c>
      <c r="F576" s="83" t="b">
        <v>0</v>
      </c>
      <c r="G576" s="83" t="b">
        <v>0</v>
      </c>
    </row>
    <row r="577" spans="1:7" ht="15">
      <c r="A577" s="84" t="s">
        <v>1994</v>
      </c>
      <c r="B577" s="83">
        <v>2</v>
      </c>
      <c r="C577" s="110">
        <v>0.0010812259090786612</v>
      </c>
      <c r="D577" s="83" t="s">
        <v>2059</v>
      </c>
      <c r="E577" s="83" t="b">
        <v>0</v>
      </c>
      <c r="F577" s="83" t="b">
        <v>0</v>
      </c>
      <c r="G577" s="83" t="b">
        <v>0</v>
      </c>
    </row>
    <row r="578" spans="1:7" ht="15">
      <c r="A578" s="84" t="s">
        <v>1995</v>
      </c>
      <c r="B578" s="83">
        <v>2</v>
      </c>
      <c r="C578" s="110">
        <v>0.0010812259090786612</v>
      </c>
      <c r="D578" s="83" t="s">
        <v>2059</v>
      </c>
      <c r="E578" s="83" t="b">
        <v>0</v>
      </c>
      <c r="F578" s="83" t="b">
        <v>0</v>
      </c>
      <c r="G578" s="83" t="b">
        <v>0</v>
      </c>
    </row>
    <row r="579" spans="1:7" ht="15">
      <c r="A579" s="84" t="s">
        <v>1996</v>
      </c>
      <c r="B579" s="83">
        <v>2</v>
      </c>
      <c r="C579" s="110">
        <v>0.0010812259090786612</v>
      </c>
      <c r="D579" s="83" t="s">
        <v>2059</v>
      </c>
      <c r="E579" s="83" t="b">
        <v>0</v>
      </c>
      <c r="F579" s="83" t="b">
        <v>0</v>
      </c>
      <c r="G579" s="83" t="b">
        <v>0</v>
      </c>
    </row>
    <row r="580" spans="1:7" ht="15">
      <c r="A580" s="84" t="s">
        <v>1997</v>
      </c>
      <c r="B580" s="83">
        <v>2</v>
      </c>
      <c r="C580" s="110">
        <v>0.0012314030084370953</v>
      </c>
      <c r="D580" s="83" t="s">
        <v>2059</v>
      </c>
      <c r="E580" s="83" t="b">
        <v>0</v>
      </c>
      <c r="F580" s="83" t="b">
        <v>0</v>
      </c>
      <c r="G580" s="83" t="b">
        <v>0</v>
      </c>
    </row>
    <row r="581" spans="1:7" ht="15">
      <c r="A581" s="84" t="s">
        <v>1998</v>
      </c>
      <c r="B581" s="83">
        <v>2</v>
      </c>
      <c r="C581" s="110">
        <v>0.0010812259090786612</v>
      </c>
      <c r="D581" s="83" t="s">
        <v>2059</v>
      </c>
      <c r="E581" s="83" t="b">
        <v>0</v>
      </c>
      <c r="F581" s="83" t="b">
        <v>0</v>
      </c>
      <c r="G581" s="83" t="b">
        <v>0</v>
      </c>
    </row>
    <row r="582" spans="1:7" ht="15">
      <c r="A582" s="84" t="s">
        <v>1999</v>
      </c>
      <c r="B582" s="83">
        <v>2</v>
      </c>
      <c r="C582" s="110">
        <v>0.0012314030084370953</v>
      </c>
      <c r="D582" s="83" t="s">
        <v>2059</v>
      </c>
      <c r="E582" s="83" t="b">
        <v>0</v>
      </c>
      <c r="F582" s="83" t="b">
        <v>0</v>
      </c>
      <c r="G582" s="83" t="b">
        <v>0</v>
      </c>
    </row>
    <row r="583" spans="1:7" ht="15">
      <c r="A583" s="84" t="s">
        <v>2000</v>
      </c>
      <c r="B583" s="83">
        <v>2</v>
      </c>
      <c r="C583" s="110">
        <v>0.0010812259090786612</v>
      </c>
      <c r="D583" s="83" t="s">
        <v>2059</v>
      </c>
      <c r="E583" s="83" t="b">
        <v>0</v>
      </c>
      <c r="F583" s="83" t="b">
        <v>0</v>
      </c>
      <c r="G583" s="83" t="b">
        <v>0</v>
      </c>
    </row>
    <row r="584" spans="1:7" ht="15">
      <c r="A584" s="84" t="s">
        <v>2001</v>
      </c>
      <c r="B584" s="83">
        <v>2</v>
      </c>
      <c r="C584" s="110">
        <v>0.0012314030084370953</v>
      </c>
      <c r="D584" s="83" t="s">
        <v>2059</v>
      </c>
      <c r="E584" s="83" t="b">
        <v>0</v>
      </c>
      <c r="F584" s="83" t="b">
        <v>0</v>
      </c>
      <c r="G584" s="83" t="b">
        <v>0</v>
      </c>
    </row>
    <row r="585" spans="1:7" ht="15">
      <c r="A585" s="84" t="s">
        <v>2002</v>
      </c>
      <c r="B585" s="83">
        <v>2</v>
      </c>
      <c r="C585" s="110">
        <v>0.0010812259090786612</v>
      </c>
      <c r="D585" s="83" t="s">
        <v>2059</v>
      </c>
      <c r="E585" s="83" t="b">
        <v>0</v>
      </c>
      <c r="F585" s="83" t="b">
        <v>0</v>
      </c>
      <c r="G585" s="83" t="b">
        <v>0</v>
      </c>
    </row>
    <row r="586" spans="1:7" ht="15">
      <c r="A586" s="84" t="s">
        <v>2003</v>
      </c>
      <c r="B586" s="83">
        <v>2</v>
      </c>
      <c r="C586" s="110">
        <v>0.0010812259090786612</v>
      </c>
      <c r="D586" s="83" t="s">
        <v>2059</v>
      </c>
      <c r="E586" s="83" t="b">
        <v>0</v>
      </c>
      <c r="F586" s="83" t="b">
        <v>0</v>
      </c>
      <c r="G586" s="83" t="b">
        <v>0</v>
      </c>
    </row>
    <row r="587" spans="1:7" ht="15">
      <c r="A587" s="84" t="s">
        <v>2004</v>
      </c>
      <c r="B587" s="83">
        <v>2</v>
      </c>
      <c r="C587" s="110">
        <v>0.0010812259090786612</v>
      </c>
      <c r="D587" s="83" t="s">
        <v>2059</v>
      </c>
      <c r="E587" s="83" t="b">
        <v>0</v>
      </c>
      <c r="F587" s="83" t="b">
        <v>0</v>
      </c>
      <c r="G587" s="83" t="b">
        <v>0</v>
      </c>
    </row>
    <row r="588" spans="1:7" ht="15">
      <c r="A588" s="84" t="s">
        <v>2005</v>
      </c>
      <c r="B588" s="83">
        <v>2</v>
      </c>
      <c r="C588" s="110">
        <v>0.0012314030084370953</v>
      </c>
      <c r="D588" s="83" t="s">
        <v>2059</v>
      </c>
      <c r="E588" s="83" t="b">
        <v>0</v>
      </c>
      <c r="F588" s="83" t="b">
        <v>0</v>
      </c>
      <c r="G588" s="83" t="b">
        <v>0</v>
      </c>
    </row>
    <row r="589" spans="1:7" ht="15">
      <c r="A589" s="84" t="s">
        <v>2006</v>
      </c>
      <c r="B589" s="83">
        <v>2</v>
      </c>
      <c r="C589" s="110">
        <v>0.0012314030084370953</v>
      </c>
      <c r="D589" s="83" t="s">
        <v>2059</v>
      </c>
      <c r="E589" s="83" t="b">
        <v>0</v>
      </c>
      <c r="F589" s="83" t="b">
        <v>0</v>
      </c>
      <c r="G589" s="83" t="b">
        <v>0</v>
      </c>
    </row>
    <row r="590" spans="1:7" ht="15">
      <c r="A590" s="84" t="s">
        <v>2007</v>
      </c>
      <c r="B590" s="83">
        <v>2</v>
      </c>
      <c r="C590" s="110">
        <v>0.0012314030084370953</v>
      </c>
      <c r="D590" s="83" t="s">
        <v>2059</v>
      </c>
      <c r="E590" s="83" t="b">
        <v>0</v>
      </c>
      <c r="F590" s="83" t="b">
        <v>0</v>
      </c>
      <c r="G590" s="83" t="b">
        <v>0</v>
      </c>
    </row>
    <row r="591" spans="1:7" ht="15">
      <c r="A591" s="84" t="s">
        <v>2008</v>
      </c>
      <c r="B591" s="83">
        <v>2</v>
      </c>
      <c r="C591" s="110">
        <v>0.0012314030084370953</v>
      </c>
      <c r="D591" s="83" t="s">
        <v>2059</v>
      </c>
      <c r="E591" s="83" t="b">
        <v>0</v>
      </c>
      <c r="F591" s="83" t="b">
        <v>0</v>
      </c>
      <c r="G591" s="83" t="b">
        <v>0</v>
      </c>
    </row>
    <row r="592" spans="1:7" ht="15">
      <c r="A592" s="84" t="s">
        <v>2009</v>
      </c>
      <c r="B592" s="83">
        <v>2</v>
      </c>
      <c r="C592" s="110">
        <v>0.0012314030084370953</v>
      </c>
      <c r="D592" s="83" t="s">
        <v>2059</v>
      </c>
      <c r="E592" s="83" t="b">
        <v>0</v>
      </c>
      <c r="F592" s="83" t="b">
        <v>0</v>
      </c>
      <c r="G592" s="83" t="b">
        <v>0</v>
      </c>
    </row>
    <row r="593" spans="1:7" ht="15">
      <c r="A593" s="84" t="s">
        <v>2010</v>
      </c>
      <c r="B593" s="83">
        <v>2</v>
      </c>
      <c r="C593" s="110">
        <v>0.0012314030084370953</v>
      </c>
      <c r="D593" s="83" t="s">
        <v>2059</v>
      </c>
      <c r="E593" s="83" t="b">
        <v>0</v>
      </c>
      <c r="F593" s="83" t="b">
        <v>0</v>
      </c>
      <c r="G593" s="83" t="b">
        <v>0</v>
      </c>
    </row>
    <row r="594" spans="1:7" ht="15">
      <c r="A594" s="84" t="s">
        <v>2011</v>
      </c>
      <c r="B594" s="83">
        <v>2</v>
      </c>
      <c r="C594" s="110">
        <v>0.0012314030084370953</v>
      </c>
      <c r="D594" s="83" t="s">
        <v>2059</v>
      </c>
      <c r="E594" s="83" t="b">
        <v>0</v>
      </c>
      <c r="F594" s="83" t="b">
        <v>0</v>
      </c>
      <c r="G594" s="83" t="b">
        <v>0</v>
      </c>
    </row>
    <row r="595" spans="1:7" ht="15">
      <c r="A595" s="84" t="s">
        <v>2012</v>
      </c>
      <c r="B595" s="83">
        <v>2</v>
      </c>
      <c r="C595" s="110">
        <v>0.0012314030084370953</v>
      </c>
      <c r="D595" s="83" t="s">
        <v>2059</v>
      </c>
      <c r="E595" s="83" t="b">
        <v>0</v>
      </c>
      <c r="F595" s="83" t="b">
        <v>0</v>
      </c>
      <c r="G595" s="83" t="b">
        <v>0</v>
      </c>
    </row>
    <row r="596" spans="1:7" ht="15">
      <c r="A596" s="84" t="s">
        <v>2013</v>
      </c>
      <c r="B596" s="83">
        <v>2</v>
      </c>
      <c r="C596" s="110">
        <v>0.0012314030084370953</v>
      </c>
      <c r="D596" s="83" t="s">
        <v>2059</v>
      </c>
      <c r="E596" s="83" t="b">
        <v>0</v>
      </c>
      <c r="F596" s="83" t="b">
        <v>0</v>
      </c>
      <c r="G596" s="83" t="b">
        <v>0</v>
      </c>
    </row>
    <row r="597" spans="1:7" ht="15">
      <c r="A597" s="84" t="s">
        <v>2014</v>
      </c>
      <c r="B597" s="83">
        <v>2</v>
      </c>
      <c r="C597" s="110">
        <v>0.0012314030084370953</v>
      </c>
      <c r="D597" s="83" t="s">
        <v>2059</v>
      </c>
      <c r="E597" s="83" t="b">
        <v>0</v>
      </c>
      <c r="F597" s="83" t="b">
        <v>0</v>
      </c>
      <c r="G597" s="83" t="b">
        <v>0</v>
      </c>
    </row>
    <row r="598" spans="1:7" ht="15">
      <c r="A598" s="84" t="s">
        <v>2015</v>
      </c>
      <c r="B598" s="83">
        <v>2</v>
      </c>
      <c r="C598" s="110">
        <v>0.0012314030084370953</v>
      </c>
      <c r="D598" s="83" t="s">
        <v>2059</v>
      </c>
      <c r="E598" s="83" t="b">
        <v>0</v>
      </c>
      <c r="F598" s="83" t="b">
        <v>0</v>
      </c>
      <c r="G598" s="83" t="b">
        <v>0</v>
      </c>
    </row>
    <row r="599" spans="1:7" ht="15">
      <c r="A599" s="84" t="s">
        <v>2016</v>
      </c>
      <c r="B599" s="83">
        <v>2</v>
      </c>
      <c r="C599" s="110">
        <v>0.0012314030084370953</v>
      </c>
      <c r="D599" s="83" t="s">
        <v>2059</v>
      </c>
      <c r="E599" s="83" t="b">
        <v>0</v>
      </c>
      <c r="F599" s="83" t="b">
        <v>0</v>
      </c>
      <c r="G599" s="83" t="b">
        <v>0</v>
      </c>
    </row>
    <row r="600" spans="1:7" ht="15">
      <c r="A600" s="84" t="s">
        <v>2017</v>
      </c>
      <c r="B600" s="83">
        <v>2</v>
      </c>
      <c r="C600" s="110">
        <v>0.0012314030084370953</v>
      </c>
      <c r="D600" s="83" t="s">
        <v>2059</v>
      </c>
      <c r="E600" s="83" t="b">
        <v>0</v>
      </c>
      <c r="F600" s="83" t="b">
        <v>0</v>
      </c>
      <c r="G600" s="83" t="b">
        <v>0</v>
      </c>
    </row>
    <row r="601" spans="1:7" ht="15">
      <c r="A601" s="84" t="s">
        <v>2018</v>
      </c>
      <c r="B601" s="83">
        <v>2</v>
      </c>
      <c r="C601" s="110">
        <v>0.0010812259090786612</v>
      </c>
      <c r="D601" s="83" t="s">
        <v>2059</v>
      </c>
      <c r="E601" s="83" t="b">
        <v>0</v>
      </c>
      <c r="F601" s="83" t="b">
        <v>0</v>
      </c>
      <c r="G601" s="83" t="b">
        <v>0</v>
      </c>
    </row>
    <row r="602" spans="1:7" ht="15">
      <c r="A602" s="84" t="s">
        <v>2019</v>
      </c>
      <c r="B602" s="83">
        <v>2</v>
      </c>
      <c r="C602" s="110">
        <v>0.0012314030084370953</v>
      </c>
      <c r="D602" s="83" t="s">
        <v>2059</v>
      </c>
      <c r="E602" s="83" t="b">
        <v>0</v>
      </c>
      <c r="F602" s="83" t="b">
        <v>0</v>
      </c>
      <c r="G602" s="83" t="b">
        <v>0</v>
      </c>
    </row>
    <row r="603" spans="1:7" ht="15">
      <c r="A603" s="84" t="s">
        <v>2020</v>
      </c>
      <c r="B603" s="83">
        <v>2</v>
      </c>
      <c r="C603" s="110">
        <v>0.0010812259090786612</v>
      </c>
      <c r="D603" s="83" t="s">
        <v>2059</v>
      </c>
      <c r="E603" s="83" t="b">
        <v>0</v>
      </c>
      <c r="F603" s="83" t="b">
        <v>0</v>
      </c>
      <c r="G603" s="83" t="b">
        <v>0</v>
      </c>
    </row>
    <row r="604" spans="1:7" ht="15">
      <c r="A604" s="84" t="s">
        <v>2021</v>
      </c>
      <c r="B604" s="83">
        <v>2</v>
      </c>
      <c r="C604" s="110">
        <v>0.0010812259090786612</v>
      </c>
      <c r="D604" s="83" t="s">
        <v>2059</v>
      </c>
      <c r="E604" s="83" t="b">
        <v>0</v>
      </c>
      <c r="F604" s="83" t="b">
        <v>0</v>
      </c>
      <c r="G604" s="83" t="b">
        <v>0</v>
      </c>
    </row>
    <row r="605" spans="1:7" ht="15">
      <c r="A605" s="84" t="s">
        <v>2022</v>
      </c>
      <c r="B605" s="83">
        <v>2</v>
      </c>
      <c r="C605" s="110">
        <v>0.0010812259090786612</v>
      </c>
      <c r="D605" s="83" t="s">
        <v>2059</v>
      </c>
      <c r="E605" s="83" t="b">
        <v>0</v>
      </c>
      <c r="F605" s="83" t="b">
        <v>0</v>
      </c>
      <c r="G605" s="83" t="b">
        <v>0</v>
      </c>
    </row>
    <row r="606" spans="1:7" ht="15">
      <c r="A606" s="84" t="s">
        <v>2023</v>
      </c>
      <c r="B606" s="83">
        <v>2</v>
      </c>
      <c r="C606" s="110">
        <v>0.0010812259090786612</v>
      </c>
      <c r="D606" s="83" t="s">
        <v>2059</v>
      </c>
      <c r="E606" s="83" t="b">
        <v>0</v>
      </c>
      <c r="F606" s="83" t="b">
        <v>0</v>
      </c>
      <c r="G606" s="83" t="b">
        <v>0</v>
      </c>
    </row>
    <row r="607" spans="1:7" ht="15">
      <c r="A607" s="84" t="s">
        <v>2024</v>
      </c>
      <c r="B607" s="83">
        <v>2</v>
      </c>
      <c r="C607" s="110">
        <v>0.0010812259090786612</v>
      </c>
      <c r="D607" s="83" t="s">
        <v>2059</v>
      </c>
      <c r="E607" s="83" t="b">
        <v>0</v>
      </c>
      <c r="F607" s="83" t="b">
        <v>0</v>
      </c>
      <c r="G607" s="83" t="b">
        <v>0</v>
      </c>
    </row>
    <row r="608" spans="1:7" ht="15">
      <c r="A608" s="84" t="s">
        <v>2025</v>
      </c>
      <c r="B608" s="83">
        <v>2</v>
      </c>
      <c r="C608" s="110">
        <v>0.0010812259090786612</v>
      </c>
      <c r="D608" s="83" t="s">
        <v>2059</v>
      </c>
      <c r="E608" s="83" t="b">
        <v>0</v>
      </c>
      <c r="F608" s="83" t="b">
        <v>0</v>
      </c>
      <c r="G608" s="83" t="b">
        <v>0</v>
      </c>
    </row>
    <row r="609" spans="1:7" ht="15">
      <c r="A609" s="84" t="s">
        <v>2026</v>
      </c>
      <c r="B609" s="83">
        <v>2</v>
      </c>
      <c r="C609" s="110">
        <v>0.0010812259090786612</v>
      </c>
      <c r="D609" s="83" t="s">
        <v>2059</v>
      </c>
      <c r="E609" s="83" t="b">
        <v>0</v>
      </c>
      <c r="F609" s="83" t="b">
        <v>0</v>
      </c>
      <c r="G609" s="83" t="b">
        <v>0</v>
      </c>
    </row>
    <row r="610" spans="1:7" ht="15">
      <c r="A610" s="84" t="s">
        <v>2027</v>
      </c>
      <c r="B610" s="83">
        <v>2</v>
      </c>
      <c r="C610" s="110">
        <v>0.0010812259090786612</v>
      </c>
      <c r="D610" s="83" t="s">
        <v>2059</v>
      </c>
      <c r="E610" s="83" t="b">
        <v>0</v>
      </c>
      <c r="F610" s="83" t="b">
        <v>0</v>
      </c>
      <c r="G610" s="83" t="b">
        <v>0</v>
      </c>
    </row>
    <row r="611" spans="1:7" ht="15">
      <c r="A611" s="84" t="s">
        <v>2028</v>
      </c>
      <c r="B611" s="83">
        <v>2</v>
      </c>
      <c r="C611" s="110">
        <v>0.0012314030084370953</v>
      </c>
      <c r="D611" s="83" t="s">
        <v>2059</v>
      </c>
      <c r="E611" s="83" t="b">
        <v>0</v>
      </c>
      <c r="F611" s="83" t="b">
        <v>0</v>
      </c>
      <c r="G611" s="83" t="b">
        <v>0</v>
      </c>
    </row>
    <row r="612" spans="1:7" ht="15">
      <c r="A612" s="84" t="s">
        <v>2029</v>
      </c>
      <c r="B612" s="83">
        <v>2</v>
      </c>
      <c r="C612" s="110">
        <v>0.0010812259090786612</v>
      </c>
      <c r="D612" s="83" t="s">
        <v>2059</v>
      </c>
      <c r="E612" s="83" t="b">
        <v>0</v>
      </c>
      <c r="F612" s="83" t="b">
        <v>0</v>
      </c>
      <c r="G612" s="83" t="b">
        <v>0</v>
      </c>
    </row>
    <row r="613" spans="1:7" ht="15">
      <c r="A613" s="84" t="s">
        <v>2030</v>
      </c>
      <c r="B613" s="83">
        <v>2</v>
      </c>
      <c r="C613" s="110">
        <v>0.0010812259090786612</v>
      </c>
      <c r="D613" s="83" t="s">
        <v>2059</v>
      </c>
      <c r="E613" s="83" t="b">
        <v>0</v>
      </c>
      <c r="F613" s="83" t="b">
        <v>0</v>
      </c>
      <c r="G613" s="83" t="b">
        <v>0</v>
      </c>
    </row>
    <row r="614" spans="1:7" ht="15">
      <c r="A614" s="84" t="s">
        <v>2031</v>
      </c>
      <c r="B614" s="83">
        <v>2</v>
      </c>
      <c r="C614" s="110">
        <v>0.0012314030084370953</v>
      </c>
      <c r="D614" s="83" t="s">
        <v>2059</v>
      </c>
      <c r="E614" s="83" t="b">
        <v>0</v>
      </c>
      <c r="F614" s="83" t="b">
        <v>0</v>
      </c>
      <c r="G614" s="83" t="b">
        <v>0</v>
      </c>
    </row>
    <row r="615" spans="1:7" ht="15">
      <c r="A615" s="84" t="s">
        <v>2032</v>
      </c>
      <c r="B615" s="83">
        <v>2</v>
      </c>
      <c r="C615" s="110">
        <v>0.0012314030084370953</v>
      </c>
      <c r="D615" s="83" t="s">
        <v>2059</v>
      </c>
      <c r="E615" s="83" t="b">
        <v>0</v>
      </c>
      <c r="F615" s="83" t="b">
        <v>0</v>
      </c>
      <c r="G615" s="83" t="b">
        <v>0</v>
      </c>
    </row>
    <row r="616" spans="1:7" ht="15">
      <c r="A616" s="84" t="s">
        <v>2033</v>
      </c>
      <c r="B616" s="83">
        <v>2</v>
      </c>
      <c r="C616" s="110">
        <v>0.0012314030084370953</v>
      </c>
      <c r="D616" s="83" t="s">
        <v>2059</v>
      </c>
      <c r="E616" s="83" t="b">
        <v>0</v>
      </c>
      <c r="F616" s="83" t="b">
        <v>0</v>
      </c>
      <c r="G616" s="83" t="b">
        <v>0</v>
      </c>
    </row>
    <row r="617" spans="1:7" ht="15">
      <c r="A617" s="84" t="s">
        <v>2034</v>
      </c>
      <c r="B617" s="83">
        <v>2</v>
      </c>
      <c r="C617" s="110">
        <v>0.0010812259090786612</v>
      </c>
      <c r="D617" s="83" t="s">
        <v>2059</v>
      </c>
      <c r="E617" s="83" t="b">
        <v>0</v>
      </c>
      <c r="F617" s="83" t="b">
        <v>0</v>
      </c>
      <c r="G617" s="83" t="b">
        <v>0</v>
      </c>
    </row>
    <row r="618" spans="1:7" ht="15">
      <c r="A618" s="84" t="s">
        <v>2035</v>
      </c>
      <c r="B618" s="83">
        <v>2</v>
      </c>
      <c r="C618" s="110">
        <v>0.0012314030084370953</v>
      </c>
      <c r="D618" s="83" t="s">
        <v>2059</v>
      </c>
      <c r="E618" s="83" t="b">
        <v>0</v>
      </c>
      <c r="F618" s="83" t="b">
        <v>0</v>
      </c>
      <c r="G618" s="83" t="b">
        <v>0</v>
      </c>
    </row>
    <row r="619" spans="1:7" ht="15">
      <c r="A619" s="84" t="s">
        <v>2036</v>
      </c>
      <c r="B619" s="83">
        <v>2</v>
      </c>
      <c r="C619" s="110">
        <v>0.0012314030084370953</v>
      </c>
      <c r="D619" s="83" t="s">
        <v>2059</v>
      </c>
      <c r="E619" s="83" t="b">
        <v>0</v>
      </c>
      <c r="F619" s="83" t="b">
        <v>0</v>
      </c>
      <c r="G619" s="83" t="b">
        <v>0</v>
      </c>
    </row>
    <row r="620" spans="1:7" ht="15">
      <c r="A620" s="84" t="s">
        <v>2037</v>
      </c>
      <c r="B620" s="83">
        <v>2</v>
      </c>
      <c r="C620" s="110">
        <v>0.0012314030084370953</v>
      </c>
      <c r="D620" s="83" t="s">
        <v>2059</v>
      </c>
      <c r="E620" s="83" t="b">
        <v>0</v>
      </c>
      <c r="F620" s="83" t="b">
        <v>0</v>
      </c>
      <c r="G620" s="83" t="b">
        <v>0</v>
      </c>
    </row>
    <row r="621" spans="1:7" ht="15">
      <c r="A621" s="84" t="s">
        <v>2038</v>
      </c>
      <c r="B621" s="83">
        <v>2</v>
      </c>
      <c r="C621" s="110">
        <v>0.0012314030084370953</v>
      </c>
      <c r="D621" s="83" t="s">
        <v>2059</v>
      </c>
      <c r="E621" s="83" t="b">
        <v>0</v>
      </c>
      <c r="F621" s="83" t="b">
        <v>0</v>
      </c>
      <c r="G621" s="83" t="b">
        <v>0</v>
      </c>
    </row>
    <row r="622" spans="1:7" ht="15">
      <c r="A622" s="84" t="s">
        <v>2039</v>
      </c>
      <c r="B622" s="83">
        <v>2</v>
      </c>
      <c r="C622" s="110">
        <v>0.0012314030084370953</v>
      </c>
      <c r="D622" s="83" t="s">
        <v>2059</v>
      </c>
      <c r="E622" s="83" t="b">
        <v>0</v>
      </c>
      <c r="F622" s="83" t="b">
        <v>0</v>
      </c>
      <c r="G622" s="83" t="b">
        <v>0</v>
      </c>
    </row>
    <row r="623" spans="1:7" ht="15">
      <c r="A623" s="84" t="s">
        <v>2040</v>
      </c>
      <c r="B623" s="83">
        <v>2</v>
      </c>
      <c r="C623" s="110">
        <v>0.0012314030084370953</v>
      </c>
      <c r="D623" s="83" t="s">
        <v>2059</v>
      </c>
      <c r="E623" s="83" t="b">
        <v>0</v>
      </c>
      <c r="F623" s="83" t="b">
        <v>0</v>
      </c>
      <c r="G623" s="83" t="b">
        <v>0</v>
      </c>
    </row>
    <row r="624" spans="1:7" ht="15">
      <c r="A624" s="84" t="s">
        <v>2041</v>
      </c>
      <c r="B624" s="83">
        <v>2</v>
      </c>
      <c r="C624" s="110">
        <v>0.0012314030084370953</v>
      </c>
      <c r="D624" s="83" t="s">
        <v>2059</v>
      </c>
      <c r="E624" s="83" t="b">
        <v>0</v>
      </c>
      <c r="F624" s="83" t="b">
        <v>0</v>
      </c>
      <c r="G624" s="83" t="b">
        <v>0</v>
      </c>
    </row>
    <row r="625" spans="1:7" ht="15">
      <c r="A625" s="84" t="s">
        <v>2042</v>
      </c>
      <c r="B625" s="83">
        <v>2</v>
      </c>
      <c r="C625" s="110">
        <v>0.0012314030084370953</v>
      </c>
      <c r="D625" s="83" t="s">
        <v>2059</v>
      </c>
      <c r="E625" s="83" t="b">
        <v>0</v>
      </c>
      <c r="F625" s="83" t="b">
        <v>0</v>
      </c>
      <c r="G625" s="83" t="b">
        <v>0</v>
      </c>
    </row>
    <row r="626" spans="1:7" ht="15">
      <c r="A626" s="84" t="s">
        <v>2043</v>
      </c>
      <c r="B626" s="83">
        <v>2</v>
      </c>
      <c r="C626" s="110">
        <v>0.0012314030084370953</v>
      </c>
      <c r="D626" s="83" t="s">
        <v>2059</v>
      </c>
      <c r="E626" s="83" t="b">
        <v>0</v>
      </c>
      <c r="F626" s="83" t="b">
        <v>0</v>
      </c>
      <c r="G626" s="83" t="b">
        <v>0</v>
      </c>
    </row>
    <row r="627" spans="1:7" ht="15">
      <c r="A627" s="84" t="s">
        <v>2044</v>
      </c>
      <c r="B627" s="83">
        <v>2</v>
      </c>
      <c r="C627" s="110">
        <v>0.0012314030084370953</v>
      </c>
      <c r="D627" s="83" t="s">
        <v>2059</v>
      </c>
      <c r="E627" s="83" t="b">
        <v>0</v>
      </c>
      <c r="F627" s="83" t="b">
        <v>0</v>
      </c>
      <c r="G627" s="83" t="b">
        <v>0</v>
      </c>
    </row>
    <row r="628" spans="1:7" ht="15">
      <c r="A628" s="84" t="s">
        <v>2045</v>
      </c>
      <c r="B628" s="83">
        <v>2</v>
      </c>
      <c r="C628" s="110">
        <v>0.0012314030084370953</v>
      </c>
      <c r="D628" s="83" t="s">
        <v>2059</v>
      </c>
      <c r="E628" s="83" t="b">
        <v>0</v>
      </c>
      <c r="F628" s="83" t="b">
        <v>0</v>
      </c>
      <c r="G628" s="83" t="b">
        <v>0</v>
      </c>
    </row>
    <row r="629" spans="1:7" ht="15">
      <c r="A629" s="84" t="s">
        <v>2046</v>
      </c>
      <c r="B629" s="83">
        <v>2</v>
      </c>
      <c r="C629" s="110">
        <v>0.0012314030084370953</v>
      </c>
      <c r="D629" s="83" t="s">
        <v>2059</v>
      </c>
      <c r="E629" s="83" t="b">
        <v>0</v>
      </c>
      <c r="F629" s="83" t="b">
        <v>0</v>
      </c>
      <c r="G629" s="83" t="b">
        <v>0</v>
      </c>
    </row>
    <row r="630" spans="1:7" ht="15">
      <c r="A630" s="84" t="s">
        <v>2047</v>
      </c>
      <c r="B630" s="83">
        <v>2</v>
      </c>
      <c r="C630" s="110">
        <v>0.0012314030084370953</v>
      </c>
      <c r="D630" s="83" t="s">
        <v>2059</v>
      </c>
      <c r="E630" s="83" t="b">
        <v>0</v>
      </c>
      <c r="F630" s="83" t="b">
        <v>0</v>
      </c>
      <c r="G630" s="83" t="b">
        <v>0</v>
      </c>
    </row>
    <row r="631" spans="1:7" ht="15">
      <c r="A631" s="84" t="s">
        <v>2048</v>
      </c>
      <c r="B631" s="83">
        <v>2</v>
      </c>
      <c r="C631" s="110">
        <v>0.0012314030084370953</v>
      </c>
      <c r="D631" s="83" t="s">
        <v>2059</v>
      </c>
      <c r="E631" s="83" t="b">
        <v>0</v>
      </c>
      <c r="F631" s="83" t="b">
        <v>0</v>
      </c>
      <c r="G631" s="83" t="b">
        <v>0</v>
      </c>
    </row>
    <row r="632" spans="1:7" ht="15">
      <c r="A632" s="84" t="s">
        <v>2049</v>
      </c>
      <c r="B632" s="83">
        <v>2</v>
      </c>
      <c r="C632" s="110">
        <v>0.0012314030084370953</v>
      </c>
      <c r="D632" s="83" t="s">
        <v>2059</v>
      </c>
      <c r="E632" s="83" t="b">
        <v>0</v>
      </c>
      <c r="F632" s="83" t="b">
        <v>0</v>
      </c>
      <c r="G632" s="83" t="b">
        <v>0</v>
      </c>
    </row>
    <row r="633" spans="1:7" ht="15">
      <c r="A633" s="84" t="s">
        <v>2050</v>
      </c>
      <c r="B633" s="83">
        <v>2</v>
      </c>
      <c r="C633" s="110">
        <v>0.0012314030084370953</v>
      </c>
      <c r="D633" s="83" t="s">
        <v>2059</v>
      </c>
      <c r="E633" s="83" t="b">
        <v>0</v>
      </c>
      <c r="F633" s="83" t="b">
        <v>0</v>
      </c>
      <c r="G633" s="83" t="b">
        <v>0</v>
      </c>
    </row>
    <row r="634" spans="1:7" ht="15">
      <c r="A634" s="84" t="s">
        <v>2051</v>
      </c>
      <c r="B634" s="83">
        <v>2</v>
      </c>
      <c r="C634" s="110">
        <v>0.0012314030084370953</v>
      </c>
      <c r="D634" s="83" t="s">
        <v>2059</v>
      </c>
      <c r="E634" s="83" t="b">
        <v>0</v>
      </c>
      <c r="F634" s="83" t="b">
        <v>0</v>
      </c>
      <c r="G634" s="83" t="b">
        <v>0</v>
      </c>
    </row>
    <row r="635" spans="1:7" ht="15">
      <c r="A635" s="84" t="s">
        <v>2052</v>
      </c>
      <c r="B635" s="83">
        <v>2</v>
      </c>
      <c r="C635" s="110">
        <v>0.0012314030084370953</v>
      </c>
      <c r="D635" s="83" t="s">
        <v>2059</v>
      </c>
      <c r="E635" s="83" t="b">
        <v>0</v>
      </c>
      <c r="F635" s="83" t="b">
        <v>0</v>
      </c>
      <c r="G635" s="83" t="b">
        <v>0</v>
      </c>
    </row>
    <row r="636" spans="1:7" ht="15">
      <c r="A636" s="84" t="s">
        <v>2053</v>
      </c>
      <c r="B636" s="83">
        <v>2</v>
      </c>
      <c r="C636" s="110">
        <v>0.0012314030084370953</v>
      </c>
      <c r="D636" s="83" t="s">
        <v>2059</v>
      </c>
      <c r="E636" s="83" t="b">
        <v>0</v>
      </c>
      <c r="F636" s="83" t="b">
        <v>0</v>
      </c>
      <c r="G636" s="83" t="b">
        <v>0</v>
      </c>
    </row>
    <row r="637" spans="1:7" ht="15">
      <c r="A637" s="84" t="s">
        <v>1428</v>
      </c>
      <c r="B637" s="83">
        <v>68</v>
      </c>
      <c r="C637" s="110">
        <v>0.01686505052643741</v>
      </c>
      <c r="D637" s="83" t="s">
        <v>1378</v>
      </c>
      <c r="E637" s="83" t="b">
        <v>0</v>
      </c>
      <c r="F637" s="83" t="b">
        <v>0</v>
      </c>
      <c r="G637" s="83" t="b">
        <v>0</v>
      </c>
    </row>
    <row r="638" spans="1:7" ht="15">
      <c r="A638" s="84" t="s">
        <v>1430</v>
      </c>
      <c r="B638" s="83">
        <v>42</v>
      </c>
      <c r="C638" s="110">
        <v>0.0146728175878914</v>
      </c>
      <c r="D638" s="83" t="s">
        <v>1378</v>
      </c>
      <c r="E638" s="83" t="b">
        <v>0</v>
      </c>
      <c r="F638" s="83" t="b">
        <v>0</v>
      </c>
      <c r="G638" s="83" t="b">
        <v>0</v>
      </c>
    </row>
    <row r="639" spans="1:7" ht="15">
      <c r="A639" s="84" t="s">
        <v>1429</v>
      </c>
      <c r="B639" s="83">
        <v>41</v>
      </c>
      <c r="C639" s="110">
        <v>0.014681234722221707</v>
      </c>
      <c r="D639" s="83" t="s">
        <v>1378</v>
      </c>
      <c r="E639" s="83" t="b">
        <v>0</v>
      </c>
      <c r="F639" s="83" t="b">
        <v>0</v>
      </c>
      <c r="G639" s="83" t="b">
        <v>0</v>
      </c>
    </row>
    <row r="640" spans="1:7" ht="15">
      <c r="A640" s="84" t="s">
        <v>1431</v>
      </c>
      <c r="B640" s="83">
        <v>28</v>
      </c>
      <c r="C640" s="110">
        <v>0.01242874516682065</v>
      </c>
      <c r="D640" s="83" t="s">
        <v>1378</v>
      </c>
      <c r="E640" s="83" t="b">
        <v>0</v>
      </c>
      <c r="F640" s="83" t="b">
        <v>0</v>
      </c>
      <c r="G640" s="83" t="b">
        <v>0</v>
      </c>
    </row>
    <row r="641" spans="1:7" ht="15">
      <c r="A641" s="84" t="s">
        <v>1433</v>
      </c>
      <c r="B641" s="83">
        <v>23</v>
      </c>
      <c r="C641" s="110">
        <v>0.008662494913309764</v>
      </c>
      <c r="D641" s="83" t="s">
        <v>1378</v>
      </c>
      <c r="E641" s="83" t="b">
        <v>0</v>
      </c>
      <c r="F641" s="83" t="b">
        <v>0</v>
      </c>
      <c r="G641" s="83" t="b">
        <v>0</v>
      </c>
    </row>
    <row r="642" spans="1:7" ht="15">
      <c r="A642" s="84" t="s">
        <v>1435</v>
      </c>
      <c r="B642" s="83">
        <v>23</v>
      </c>
      <c r="C642" s="110">
        <v>0.008889963442763603</v>
      </c>
      <c r="D642" s="83" t="s">
        <v>1378</v>
      </c>
      <c r="E642" s="83" t="b">
        <v>0</v>
      </c>
      <c r="F642" s="83" t="b">
        <v>0</v>
      </c>
      <c r="G642" s="83" t="b">
        <v>0</v>
      </c>
    </row>
    <row r="643" spans="1:7" ht="15">
      <c r="A643" s="84" t="s">
        <v>1432</v>
      </c>
      <c r="B643" s="83">
        <v>19</v>
      </c>
      <c r="C643" s="110">
        <v>0.009254537689173437</v>
      </c>
      <c r="D643" s="83" t="s">
        <v>1378</v>
      </c>
      <c r="E643" s="83" t="b">
        <v>0</v>
      </c>
      <c r="F643" s="83" t="b">
        <v>0</v>
      </c>
      <c r="G643" s="83" t="b">
        <v>0</v>
      </c>
    </row>
    <row r="644" spans="1:7" ht="15">
      <c r="A644" s="84" t="s">
        <v>1438</v>
      </c>
      <c r="B644" s="83">
        <v>17</v>
      </c>
      <c r="C644" s="110">
        <v>0.007546023851283966</v>
      </c>
      <c r="D644" s="83" t="s">
        <v>1378</v>
      </c>
      <c r="E644" s="83" t="b">
        <v>1</v>
      </c>
      <c r="F644" s="83" t="b">
        <v>0</v>
      </c>
      <c r="G644" s="83" t="b">
        <v>0</v>
      </c>
    </row>
    <row r="645" spans="1:7" ht="15">
      <c r="A645" s="84" t="s">
        <v>1440</v>
      </c>
      <c r="B645" s="83">
        <v>15</v>
      </c>
      <c r="C645" s="110">
        <v>0.007553534790224536</v>
      </c>
      <c r="D645" s="83" t="s">
        <v>1378</v>
      </c>
      <c r="E645" s="83" t="b">
        <v>1</v>
      </c>
      <c r="F645" s="83" t="b">
        <v>0</v>
      </c>
      <c r="G645" s="83" t="b">
        <v>0</v>
      </c>
    </row>
    <row r="646" spans="1:7" ht="15">
      <c r="A646" s="84" t="s">
        <v>1434</v>
      </c>
      <c r="B646" s="83">
        <v>15</v>
      </c>
      <c r="C646" s="110">
        <v>0.008429124075369287</v>
      </c>
      <c r="D646" s="83" t="s">
        <v>1378</v>
      </c>
      <c r="E646" s="83" t="b">
        <v>0</v>
      </c>
      <c r="F646" s="83" t="b">
        <v>0</v>
      </c>
      <c r="G646" s="83" t="b">
        <v>0</v>
      </c>
    </row>
    <row r="647" spans="1:7" ht="15">
      <c r="A647" s="84" t="s">
        <v>1442</v>
      </c>
      <c r="B647" s="83">
        <v>14</v>
      </c>
      <c r="C647" s="110">
        <v>0.007867182470344668</v>
      </c>
      <c r="D647" s="83" t="s">
        <v>1378</v>
      </c>
      <c r="E647" s="83" t="b">
        <v>0</v>
      </c>
      <c r="F647" s="83" t="b">
        <v>0</v>
      </c>
      <c r="G647" s="83" t="b">
        <v>0</v>
      </c>
    </row>
    <row r="648" spans="1:7" ht="15">
      <c r="A648" s="84" t="s">
        <v>1448</v>
      </c>
      <c r="B648" s="83">
        <v>14</v>
      </c>
      <c r="C648" s="110">
        <v>0.008195361193628197</v>
      </c>
      <c r="D648" s="83" t="s">
        <v>1378</v>
      </c>
      <c r="E648" s="83" t="b">
        <v>0</v>
      </c>
      <c r="F648" s="83" t="b">
        <v>0</v>
      </c>
      <c r="G648" s="83" t="b">
        <v>0</v>
      </c>
    </row>
    <row r="649" spans="1:7" ht="15">
      <c r="A649" s="84" t="s">
        <v>1436</v>
      </c>
      <c r="B649" s="83">
        <v>14</v>
      </c>
      <c r="C649" s="110">
        <v>0.008562233793148352</v>
      </c>
      <c r="D649" s="83" t="s">
        <v>1378</v>
      </c>
      <c r="E649" s="83" t="b">
        <v>0</v>
      </c>
      <c r="F649" s="83" t="b">
        <v>0</v>
      </c>
      <c r="G649" s="83" t="b">
        <v>0</v>
      </c>
    </row>
    <row r="650" spans="1:7" ht="15">
      <c r="A650" s="84" t="s">
        <v>1446</v>
      </c>
      <c r="B650" s="83">
        <v>12</v>
      </c>
      <c r="C650" s="110">
        <v>0.008593893495934658</v>
      </c>
      <c r="D650" s="83" t="s">
        <v>1378</v>
      </c>
      <c r="E650" s="83" t="b">
        <v>0</v>
      </c>
      <c r="F650" s="83" t="b">
        <v>0</v>
      </c>
      <c r="G650" s="83" t="b">
        <v>0</v>
      </c>
    </row>
    <row r="651" spans="1:7" ht="15">
      <c r="A651" s="84" t="s">
        <v>1464</v>
      </c>
      <c r="B651" s="83">
        <v>12</v>
      </c>
      <c r="C651" s="110">
        <v>0.007695565407748768</v>
      </c>
      <c r="D651" s="83" t="s">
        <v>1378</v>
      </c>
      <c r="E651" s="83" t="b">
        <v>0</v>
      </c>
      <c r="F651" s="83" t="b">
        <v>0</v>
      </c>
      <c r="G651" s="83" t="b">
        <v>0</v>
      </c>
    </row>
    <row r="652" spans="1:7" ht="15">
      <c r="A652" s="84" t="s">
        <v>1441</v>
      </c>
      <c r="B652" s="83">
        <v>11</v>
      </c>
      <c r="C652" s="110">
        <v>0.007054268290436371</v>
      </c>
      <c r="D652" s="83" t="s">
        <v>1378</v>
      </c>
      <c r="E652" s="83" t="b">
        <v>0</v>
      </c>
      <c r="F652" s="83" t="b">
        <v>0</v>
      </c>
      <c r="G652" s="83" t="b">
        <v>0</v>
      </c>
    </row>
    <row r="653" spans="1:7" ht="15">
      <c r="A653" s="84" t="s">
        <v>1462</v>
      </c>
      <c r="B653" s="83">
        <v>11</v>
      </c>
      <c r="C653" s="110">
        <v>0.006439212366422155</v>
      </c>
      <c r="D653" s="83" t="s">
        <v>1378</v>
      </c>
      <c r="E653" s="83" t="b">
        <v>0</v>
      </c>
      <c r="F653" s="83" t="b">
        <v>0</v>
      </c>
      <c r="G653" s="83" t="b">
        <v>0</v>
      </c>
    </row>
    <row r="654" spans="1:7" ht="15">
      <c r="A654" s="84" t="s">
        <v>1451</v>
      </c>
      <c r="B654" s="83">
        <v>11</v>
      </c>
      <c r="C654" s="110">
        <v>0.007054268290436371</v>
      </c>
      <c r="D654" s="83" t="s">
        <v>1378</v>
      </c>
      <c r="E654" s="83" t="b">
        <v>0</v>
      </c>
      <c r="F654" s="83" t="b">
        <v>0</v>
      </c>
      <c r="G654" s="83" t="b">
        <v>0</v>
      </c>
    </row>
    <row r="655" spans="1:7" ht="15">
      <c r="A655" s="84" t="s">
        <v>1449</v>
      </c>
      <c r="B655" s="83">
        <v>11</v>
      </c>
      <c r="C655" s="110">
        <v>0.006439212366422155</v>
      </c>
      <c r="D655" s="83" t="s">
        <v>1378</v>
      </c>
      <c r="E655" s="83" t="b">
        <v>0</v>
      </c>
      <c r="F655" s="83" t="b">
        <v>0</v>
      </c>
      <c r="G655" s="83" t="b">
        <v>0</v>
      </c>
    </row>
    <row r="656" spans="1:7" ht="15">
      <c r="A656" s="84" t="s">
        <v>1445</v>
      </c>
      <c r="B656" s="83">
        <v>11</v>
      </c>
      <c r="C656" s="110">
        <v>0.006439212366422155</v>
      </c>
      <c r="D656" s="83" t="s">
        <v>1378</v>
      </c>
      <c r="E656" s="83" t="b">
        <v>0</v>
      </c>
      <c r="F656" s="83" t="b">
        <v>0</v>
      </c>
      <c r="G656" s="83" t="b">
        <v>0</v>
      </c>
    </row>
    <row r="657" spans="1:7" ht="15">
      <c r="A657" s="84" t="s">
        <v>1455</v>
      </c>
      <c r="B657" s="83">
        <v>10</v>
      </c>
      <c r="C657" s="110">
        <v>0.006755936283936541</v>
      </c>
      <c r="D657" s="83" t="s">
        <v>1378</v>
      </c>
      <c r="E657" s="83" t="b">
        <v>0</v>
      </c>
      <c r="F657" s="83" t="b">
        <v>0</v>
      </c>
      <c r="G657" s="83" t="b">
        <v>0</v>
      </c>
    </row>
    <row r="658" spans="1:7" ht="15">
      <c r="A658" s="84" t="s">
        <v>1456</v>
      </c>
      <c r="B658" s="83">
        <v>10</v>
      </c>
      <c r="C658" s="110">
        <v>0.005853829424020141</v>
      </c>
      <c r="D658" s="83" t="s">
        <v>1378</v>
      </c>
      <c r="E658" s="83" t="b">
        <v>1</v>
      </c>
      <c r="F658" s="83" t="b">
        <v>0</v>
      </c>
      <c r="G658" s="83" t="b">
        <v>0</v>
      </c>
    </row>
    <row r="659" spans="1:7" ht="15">
      <c r="A659" s="84" t="s">
        <v>1437</v>
      </c>
      <c r="B659" s="83">
        <v>10</v>
      </c>
      <c r="C659" s="110">
        <v>0.00611588128082025</v>
      </c>
      <c r="D659" s="83" t="s">
        <v>1378</v>
      </c>
      <c r="E659" s="83" t="b">
        <v>0</v>
      </c>
      <c r="F659" s="83" t="b">
        <v>0</v>
      </c>
      <c r="G659" s="83" t="b">
        <v>0</v>
      </c>
    </row>
    <row r="660" spans="1:7" ht="15">
      <c r="A660" s="84" t="s">
        <v>1469</v>
      </c>
      <c r="B660" s="83">
        <v>10</v>
      </c>
      <c r="C660" s="110">
        <v>0.005853829424020141</v>
      </c>
      <c r="D660" s="83" t="s">
        <v>1378</v>
      </c>
      <c r="E660" s="83" t="b">
        <v>0</v>
      </c>
      <c r="F660" s="83" t="b">
        <v>0</v>
      </c>
      <c r="G660" s="83" t="b">
        <v>0</v>
      </c>
    </row>
    <row r="661" spans="1:7" ht="15">
      <c r="A661" s="84" t="s">
        <v>1460</v>
      </c>
      <c r="B661" s="83">
        <v>10</v>
      </c>
      <c r="C661" s="110">
        <v>0.006755936283936541</v>
      </c>
      <c r="D661" s="83" t="s">
        <v>1378</v>
      </c>
      <c r="E661" s="83" t="b">
        <v>0</v>
      </c>
      <c r="F661" s="83" t="b">
        <v>0</v>
      </c>
      <c r="G661" s="83" t="b">
        <v>0</v>
      </c>
    </row>
    <row r="662" spans="1:7" ht="15">
      <c r="A662" s="84" t="s">
        <v>1463</v>
      </c>
      <c r="B662" s="83">
        <v>10</v>
      </c>
      <c r="C662" s="110">
        <v>0.00611588128082025</v>
      </c>
      <c r="D662" s="83" t="s">
        <v>1378</v>
      </c>
      <c r="E662" s="83" t="b">
        <v>0</v>
      </c>
      <c r="F662" s="83" t="b">
        <v>0</v>
      </c>
      <c r="G662" s="83" t="b">
        <v>0</v>
      </c>
    </row>
    <row r="663" spans="1:7" ht="15">
      <c r="A663" s="84" t="s">
        <v>1454</v>
      </c>
      <c r="B663" s="83">
        <v>10</v>
      </c>
      <c r="C663" s="110">
        <v>0.00561941605024619</v>
      </c>
      <c r="D663" s="83" t="s">
        <v>1378</v>
      </c>
      <c r="E663" s="83" t="b">
        <v>1</v>
      </c>
      <c r="F663" s="83" t="b">
        <v>0</v>
      </c>
      <c r="G663" s="83" t="b">
        <v>0</v>
      </c>
    </row>
    <row r="664" spans="1:7" ht="15">
      <c r="A664" s="84" t="s">
        <v>1447</v>
      </c>
      <c r="B664" s="83">
        <v>10</v>
      </c>
      <c r="C664" s="110">
        <v>0.00611588128082025</v>
      </c>
      <c r="D664" s="83" t="s">
        <v>1378</v>
      </c>
      <c r="E664" s="83" t="b">
        <v>0</v>
      </c>
      <c r="F664" s="83" t="b">
        <v>0</v>
      </c>
      <c r="G664" s="83" t="b">
        <v>0</v>
      </c>
    </row>
    <row r="665" spans="1:7" ht="15">
      <c r="A665" s="84" t="s">
        <v>1458</v>
      </c>
      <c r="B665" s="83">
        <v>9</v>
      </c>
      <c r="C665" s="110">
        <v>0.005504293152738225</v>
      </c>
      <c r="D665" s="83" t="s">
        <v>1378</v>
      </c>
      <c r="E665" s="83" t="b">
        <v>1</v>
      </c>
      <c r="F665" s="83" t="b">
        <v>0</v>
      </c>
      <c r="G665" s="83" t="b">
        <v>0</v>
      </c>
    </row>
    <row r="666" spans="1:7" ht="15">
      <c r="A666" s="84" t="s">
        <v>1489</v>
      </c>
      <c r="B666" s="83">
        <v>9</v>
      </c>
      <c r="C666" s="110">
        <v>0.005504293152738225</v>
      </c>
      <c r="D666" s="83" t="s">
        <v>1378</v>
      </c>
      <c r="E666" s="83" t="b">
        <v>0</v>
      </c>
      <c r="F666" s="83" t="b">
        <v>0</v>
      </c>
      <c r="G666" s="83" t="b">
        <v>0</v>
      </c>
    </row>
    <row r="667" spans="1:7" ht="15">
      <c r="A667" s="84" t="s">
        <v>1474</v>
      </c>
      <c r="B667" s="83">
        <v>9</v>
      </c>
      <c r="C667" s="110">
        <v>0.006445420121950993</v>
      </c>
      <c r="D667" s="83" t="s">
        <v>1378</v>
      </c>
      <c r="E667" s="83" t="b">
        <v>0</v>
      </c>
      <c r="F667" s="83" t="b">
        <v>0</v>
      </c>
      <c r="G667" s="83" t="b">
        <v>0</v>
      </c>
    </row>
    <row r="668" spans="1:7" ht="15">
      <c r="A668" s="84" t="s">
        <v>1452</v>
      </c>
      <c r="B668" s="83">
        <v>9</v>
      </c>
      <c r="C668" s="110">
        <v>0.005771674055811576</v>
      </c>
      <c r="D668" s="83" t="s">
        <v>1378</v>
      </c>
      <c r="E668" s="83" t="b">
        <v>0</v>
      </c>
      <c r="F668" s="83" t="b">
        <v>0</v>
      </c>
      <c r="G668" s="83" t="b">
        <v>0</v>
      </c>
    </row>
    <row r="669" spans="1:7" ht="15">
      <c r="A669" s="84" t="s">
        <v>1472</v>
      </c>
      <c r="B669" s="83">
        <v>9</v>
      </c>
      <c r="C669" s="110">
        <v>0.006080342655542887</v>
      </c>
      <c r="D669" s="83" t="s">
        <v>1378</v>
      </c>
      <c r="E669" s="83" t="b">
        <v>0</v>
      </c>
      <c r="F669" s="83" t="b">
        <v>0</v>
      </c>
      <c r="G669" s="83" t="b">
        <v>0</v>
      </c>
    </row>
    <row r="670" spans="1:7" ht="15">
      <c r="A670" s="84" t="s">
        <v>1503</v>
      </c>
      <c r="B670" s="83">
        <v>8</v>
      </c>
      <c r="C670" s="110">
        <v>0.006126434515082353</v>
      </c>
      <c r="D670" s="83" t="s">
        <v>1378</v>
      </c>
      <c r="E670" s="83" t="b">
        <v>0</v>
      </c>
      <c r="F670" s="83" t="b">
        <v>0</v>
      </c>
      <c r="G670" s="83" t="b">
        <v>0</v>
      </c>
    </row>
    <row r="671" spans="1:7" ht="15">
      <c r="A671" s="84" t="s">
        <v>1477</v>
      </c>
      <c r="B671" s="83">
        <v>8</v>
      </c>
      <c r="C671" s="110">
        <v>0.0048927050246562005</v>
      </c>
      <c r="D671" s="83" t="s">
        <v>1378</v>
      </c>
      <c r="E671" s="83" t="b">
        <v>0</v>
      </c>
      <c r="F671" s="83" t="b">
        <v>0</v>
      </c>
      <c r="G671" s="83" t="b">
        <v>0</v>
      </c>
    </row>
    <row r="672" spans="1:7" ht="15">
      <c r="A672" s="84" t="s">
        <v>1486</v>
      </c>
      <c r="B672" s="83">
        <v>8</v>
      </c>
      <c r="C672" s="110">
        <v>0.005130376938499178</v>
      </c>
      <c r="D672" s="83" t="s">
        <v>1378</v>
      </c>
      <c r="E672" s="83" t="b">
        <v>0</v>
      </c>
      <c r="F672" s="83" t="b">
        <v>0</v>
      </c>
      <c r="G672" s="83" t="b">
        <v>0</v>
      </c>
    </row>
    <row r="673" spans="1:7" ht="15">
      <c r="A673" s="84" t="s">
        <v>1476</v>
      </c>
      <c r="B673" s="83">
        <v>8</v>
      </c>
      <c r="C673" s="110">
        <v>0.005729262330623106</v>
      </c>
      <c r="D673" s="83" t="s">
        <v>1378</v>
      </c>
      <c r="E673" s="83" t="b">
        <v>0</v>
      </c>
      <c r="F673" s="83" t="b">
        <v>0</v>
      </c>
      <c r="G673" s="83" t="b">
        <v>0</v>
      </c>
    </row>
    <row r="674" spans="1:7" ht="15">
      <c r="A674" s="84" t="s">
        <v>1502</v>
      </c>
      <c r="B674" s="83">
        <v>8</v>
      </c>
      <c r="C674" s="110">
        <v>0.005404749027149233</v>
      </c>
      <c r="D674" s="83" t="s">
        <v>1378</v>
      </c>
      <c r="E674" s="83" t="b">
        <v>0</v>
      </c>
      <c r="F674" s="83" t="b">
        <v>0</v>
      </c>
      <c r="G674" s="83" t="b">
        <v>0</v>
      </c>
    </row>
    <row r="675" spans="1:7" ht="15">
      <c r="A675" s="84" t="s">
        <v>1459</v>
      </c>
      <c r="B675" s="83">
        <v>7</v>
      </c>
      <c r="C675" s="110">
        <v>0.0047291553987555785</v>
      </c>
      <c r="D675" s="83" t="s">
        <v>1378</v>
      </c>
      <c r="E675" s="83" t="b">
        <v>0</v>
      </c>
      <c r="F675" s="83" t="b">
        <v>0</v>
      </c>
      <c r="G675" s="83" t="b">
        <v>0</v>
      </c>
    </row>
    <row r="676" spans="1:7" ht="15">
      <c r="A676" s="84" t="s">
        <v>1470</v>
      </c>
      <c r="B676" s="83">
        <v>7</v>
      </c>
      <c r="C676" s="110">
        <v>0.004489079821186781</v>
      </c>
      <c r="D676" s="83" t="s">
        <v>1378</v>
      </c>
      <c r="E676" s="83" t="b">
        <v>0</v>
      </c>
      <c r="F676" s="83" t="b">
        <v>0</v>
      </c>
      <c r="G676" s="83" t="b">
        <v>0</v>
      </c>
    </row>
    <row r="677" spans="1:7" ht="15">
      <c r="A677" s="84" t="s">
        <v>1521</v>
      </c>
      <c r="B677" s="83">
        <v>7</v>
      </c>
      <c r="C677" s="110">
        <v>0.0047291553987555785</v>
      </c>
      <c r="D677" s="83" t="s">
        <v>1378</v>
      </c>
      <c r="E677" s="83" t="b">
        <v>0</v>
      </c>
      <c r="F677" s="83" t="b">
        <v>0</v>
      </c>
      <c r="G677" s="83" t="b">
        <v>0</v>
      </c>
    </row>
    <row r="678" spans="1:7" ht="15">
      <c r="A678" s="84" t="s">
        <v>1494</v>
      </c>
      <c r="B678" s="83">
        <v>7</v>
      </c>
      <c r="C678" s="110">
        <v>0.005013104539295217</v>
      </c>
      <c r="D678" s="83" t="s">
        <v>1378</v>
      </c>
      <c r="E678" s="83" t="b">
        <v>0</v>
      </c>
      <c r="F678" s="83" t="b">
        <v>0</v>
      </c>
      <c r="G678" s="83" t="b">
        <v>0</v>
      </c>
    </row>
    <row r="679" spans="1:7" ht="15">
      <c r="A679" s="84" t="s">
        <v>1495</v>
      </c>
      <c r="B679" s="83">
        <v>7</v>
      </c>
      <c r="C679" s="110">
        <v>0.0058086687028784615</v>
      </c>
      <c r="D679" s="83" t="s">
        <v>1378</v>
      </c>
      <c r="E679" s="83" t="b">
        <v>0</v>
      </c>
      <c r="F679" s="83" t="b">
        <v>0</v>
      </c>
      <c r="G679" s="83" t="b">
        <v>0</v>
      </c>
    </row>
    <row r="680" spans="1:7" ht="15">
      <c r="A680" s="84" t="s">
        <v>1505</v>
      </c>
      <c r="B680" s="83">
        <v>7</v>
      </c>
      <c r="C680" s="110">
        <v>0.005013104539295217</v>
      </c>
      <c r="D680" s="83" t="s">
        <v>1378</v>
      </c>
      <c r="E680" s="83" t="b">
        <v>0</v>
      </c>
      <c r="F680" s="83" t="b">
        <v>0</v>
      </c>
      <c r="G680" s="83" t="b">
        <v>0</v>
      </c>
    </row>
    <row r="681" spans="1:7" ht="15">
      <c r="A681" s="84" t="s">
        <v>1444</v>
      </c>
      <c r="B681" s="83">
        <v>7</v>
      </c>
      <c r="C681" s="110">
        <v>0.005013104539295217</v>
      </c>
      <c r="D681" s="83" t="s">
        <v>1378</v>
      </c>
      <c r="E681" s="83" t="b">
        <v>0</v>
      </c>
      <c r="F681" s="83" t="b">
        <v>0</v>
      </c>
      <c r="G681" s="83" t="b">
        <v>0</v>
      </c>
    </row>
    <row r="682" spans="1:7" ht="15">
      <c r="A682" s="84" t="s">
        <v>1467</v>
      </c>
      <c r="B682" s="83">
        <v>7</v>
      </c>
      <c r="C682" s="110">
        <v>0.004489079821186781</v>
      </c>
      <c r="D682" s="83" t="s">
        <v>1378</v>
      </c>
      <c r="E682" s="83" t="b">
        <v>0</v>
      </c>
      <c r="F682" s="83" t="b">
        <v>0</v>
      </c>
      <c r="G682" s="83" t="b">
        <v>0</v>
      </c>
    </row>
    <row r="683" spans="1:7" ht="15">
      <c r="A683" s="84" t="s">
        <v>1443</v>
      </c>
      <c r="B683" s="83">
        <v>7</v>
      </c>
      <c r="C683" s="110">
        <v>0.0047291553987555785</v>
      </c>
      <c r="D683" s="83" t="s">
        <v>1378</v>
      </c>
      <c r="E683" s="83" t="b">
        <v>0</v>
      </c>
      <c r="F683" s="83" t="b">
        <v>0</v>
      </c>
      <c r="G683" s="83" t="b">
        <v>0</v>
      </c>
    </row>
    <row r="684" spans="1:7" ht="15">
      <c r="A684" s="84" t="s">
        <v>1457</v>
      </c>
      <c r="B684" s="83">
        <v>6</v>
      </c>
      <c r="C684" s="110">
        <v>0.004594825886311764</v>
      </c>
      <c r="D684" s="83" t="s">
        <v>1378</v>
      </c>
      <c r="E684" s="83" t="b">
        <v>0</v>
      </c>
      <c r="F684" s="83" t="b">
        <v>0</v>
      </c>
      <c r="G684" s="83" t="b">
        <v>0</v>
      </c>
    </row>
    <row r="685" spans="1:7" ht="15">
      <c r="A685" s="84" t="s">
        <v>1513</v>
      </c>
      <c r="B685" s="83">
        <v>6</v>
      </c>
      <c r="C685" s="110">
        <v>0.004053561770361924</v>
      </c>
      <c r="D685" s="83" t="s">
        <v>1378</v>
      </c>
      <c r="E685" s="83" t="b">
        <v>0</v>
      </c>
      <c r="F685" s="83" t="b">
        <v>0</v>
      </c>
      <c r="G685" s="83" t="b">
        <v>0</v>
      </c>
    </row>
    <row r="686" spans="1:7" ht="15">
      <c r="A686" s="84" t="s">
        <v>1504</v>
      </c>
      <c r="B686" s="83">
        <v>6</v>
      </c>
      <c r="C686" s="110">
        <v>0.004978858888181539</v>
      </c>
      <c r="D686" s="83" t="s">
        <v>1378</v>
      </c>
      <c r="E686" s="83" t="b">
        <v>0</v>
      </c>
      <c r="F686" s="83" t="b">
        <v>0</v>
      </c>
      <c r="G686" s="83" t="b">
        <v>0</v>
      </c>
    </row>
    <row r="687" spans="1:7" ht="15">
      <c r="A687" s="84" t="s">
        <v>1450</v>
      </c>
      <c r="B687" s="83">
        <v>6</v>
      </c>
      <c r="C687" s="110">
        <v>0.004053561770361924</v>
      </c>
      <c r="D687" s="83" t="s">
        <v>1378</v>
      </c>
      <c r="E687" s="83" t="b">
        <v>0</v>
      </c>
      <c r="F687" s="83" t="b">
        <v>0</v>
      </c>
      <c r="G687" s="83" t="b">
        <v>0</v>
      </c>
    </row>
    <row r="688" spans="1:7" ht="15">
      <c r="A688" s="84" t="s">
        <v>1533</v>
      </c>
      <c r="B688" s="83">
        <v>6</v>
      </c>
      <c r="C688" s="110">
        <v>0.004053561770361924</v>
      </c>
      <c r="D688" s="83" t="s">
        <v>1378</v>
      </c>
      <c r="E688" s="83" t="b">
        <v>0</v>
      </c>
      <c r="F688" s="83" t="b">
        <v>1</v>
      </c>
      <c r="G688" s="83" t="b">
        <v>0</v>
      </c>
    </row>
    <row r="689" spans="1:7" ht="15">
      <c r="A689" s="84" t="s">
        <v>1479</v>
      </c>
      <c r="B689" s="83">
        <v>6</v>
      </c>
      <c r="C689" s="110">
        <v>0.004978858888181539</v>
      </c>
      <c r="D689" s="83" t="s">
        <v>1378</v>
      </c>
      <c r="E689" s="83" t="b">
        <v>0</v>
      </c>
      <c r="F689" s="83" t="b">
        <v>0</v>
      </c>
      <c r="G689" s="83" t="b">
        <v>0</v>
      </c>
    </row>
    <row r="690" spans="1:7" ht="15">
      <c r="A690" s="84" t="s">
        <v>1480</v>
      </c>
      <c r="B690" s="83">
        <v>6</v>
      </c>
      <c r="C690" s="110">
        <v>0.004978858888181539</v>
      </c>
      <c r="D690" s="83" t="s">
        <v>1378</v>
      </c>
      <c r="E690" s="83" t="b">
        <v>0</v>
      </c>
      <c r="F690" s="83" t="b">
        <v>0</v>
      </c>
      <c r="G690" s="83" t="b">
        <v>0</v>
      </c>
    </row>
    <row r="691" spans="1:7" ht="15">
      <c r="A691" s="84" t="s">
        <v>1498</v>
      </c>
      <c r="B691" s="83">
        <v>6</v>
      </c>
      <c r="C691" s="110">
        <v>0.004978858888181539</v>
      </c>
      <c r="D691" s="83" t="s">
        <v>1378</v>
      </c>
      <c r="E691" s="83" t="b">
        <v>0</v>
      </c>
      <c r="F691" s="83" t="b">
        <v>0</v>
      </c>
      <c r="G691" s="83" t="b">
        <v>0</v>
      </c>
    </row>
    <row r="692" spans="1:7" ht="15">
      <c r="A692" s="84" t="s">
        <v>1493</v>
      </c>
      <c r="B692" s="83">
        <v>6</v>
      </c>
      <c r="C692" s="110">
        <v>0.004053561770361924</v>
      </c>
      <c r="D692" s="83" t="s">
        <v>1378</v>
      </c>
      <c r="E692" s="83" t="b">
        <v>1</v>
      </c>
      <c r="F692" s="83" t="b">
        <v>0</v>
      </c>
      <c r="G692" s="83" t="b">
        <v>0</v>
      </c>
    </row>
    <row r="693" spans="1:7" ht="15">
      <c r="A693" s="84" t="s">
        <v>1518</v>
      </c>
      <c r="B693" s="83">
        <v>6</v>
      </c>
      <c r="C693" s="110">
        <v>0.004053561770361924</v>
      </c>
      <c r="D693" s="83" t="s">
        <v>1378</v>
      </c>
      <c r="E693" s="83" t="b">
        <v>0</v>
      </c>
      <c r="F693" s="83" t="b">
        <v>0</v>
      </c>
      <c r="G693" s="83" t="b">
        <v>0</v>
      </c>
    </row>
    <row r="694" spans="1:7" ht="15">
      <c r="A694" s="84" t="s">
        <v>1523</v>
      </c>
      <c r="B694" s="83">
        <v>6</v>
      </c>
      <c r="C694" s="110">
        <v>0.004053561770361924</v>
      </c>
      <c r="D694" s="83" t="s">
        <v>1378</v>
      </c>
      <c r="E694" s="83" t="b">
        <v>0</v>
      </c>
      <c r="F694" s="83" t="b">
        <v>0</v>
      </c>
      <c r="G694" s="83" t="b">
        <v>0</v>
      </c>
    </row>
    <row r="695" spans="1:7" ht="15">
      <c r="A695" s="84" t="s">
        <v>1500</v>
      </c>
      <c r="B695" s="83">
        <v>6</v>
      </c>
      <c r="C695" s="110">
        <v>0.004296946747967329</v>
      </c>
      <c r="D695" s="83" t="s">
        <v>1378</v>
      </c>
      <c r="E695" s="83" t="b">
        <v>0</v>
      </c>
      <c r="F695" s="83" t="b">
        <v>0</v>
      </c>
      <c r="G695" s="83" t="b">
        <v>0</v>
      </c>
    </row>
    <row r="696" spans="1:7" ht="15">
      <c r="A696" s="84" t="s">
        <v>1536</v>
      </c>
      <c r="B696" s="83">
        <v>6</v>
      </c>
      <c r="C696" s="110">
        <v>0.004053561770361924</v>
      </c>
      <c r="D696" s="83" t="s">
        <v>1378</v>
      </c>
      <c r="E696" s="83" t="b">
        <v>0</v>
      </c>
      <c r="F696" s="83" t="b">
        <v>0</v>
      </c>
      <c r="G696" s="83" t="b">
        <v>0</v>
      </c>
    </row>
    <row r="697" spans="1:7" ht="15">
      <c r="A697" s="84" t="s">
        <v>1534</v>
      </c>
      <c r="B697" s="83">
        <v>6</v>
      </c>
      <c r="C697" s="110">
        <v>0.004296946747967329</v>
      </c>
      <c r="D697" s="83" t="s">
        <v>1378</v>
      </c>
      <c r="E697" s="83" t="b">
        <v>0</v>
      </c>
      <c r="F697" s="83" t="b">
        <v>0</v>
      </c>
      <c r="G697" s="83" t="b">
        <v>0</v>
      </c>
    </row>
    <row r="698" spans="1:7" ht="15">
      <c r="A698" s="84" t="s">
        <v>1478</v>
      </c>
      <c r="B698" s="83">
        <v>6</v>
      </c>
      <c r="C698" s="110">
        <v>0.004296946747967329</v>
      </c>
      <c r="D698" s="83" t="s">
        <v>1378</v>
      </c>
      <c r="E698" s="83" t="b">
        <v>0</v>
      </c>
      <c r="F698" s="83" t="b">
        <v>0</v>
      </c>
      <c r="G698" s="83" t="b">
        <v>0</v>
      </c>
    </row>
    <row r="699" spans="1:7" ht="15">
      <c r="A699" s="84" t="s">
        <v>1466</v>
      </c>
      <c r="B699" s="83">
        <v>6</v>
      </c>
      <c r="C699" s="110">
        <v>0.004053561770361924</v>
      </c>
      <c r="D699" s="83" t="s">
        <v>1378</v>
      </c>
      <c r="E699" s="83" t="b">
        <v>0</v>
      </c>
      <c r="F699" s="83" t="b">
        <v>0</v>
      </c>
      <c r="G699" s="83" t="b">
        <v>0</v>
      </c>
    </row>
    <row r="700" spans="1:7" ht="15">
      <c r="A700" s="84" t="s">
        <v>1530</v>
      </c>
      <c r="B700" s="83">
        <v>5</v>
      </c>
      <c r="C700" s="110">
        <v>0.0035807889566394405</v>
      </c>
      <c r="D700" s="83" t="s">
        <v>1378</v>
      </c>
      <c r="E700" s="83" t="b">
        <v>1</v>
      </c>
      <c r="F700" s="83" t="b">
        <v>0</v>
      </c>
      <c r="G700" s="83" t="b">
        <v>0</v>
      </c>
    </row>
    <row r="701" spans="1:7" ht="15">
      <c r="A701" s="84" t="s">
        <v>1566</v>
      </c>
      <c r="B701" s="83">
        <v>5</v>
      </c>
      <c r="C701" s="110">
        <v>0.004600102503442815</v>
      </c>
      <c r="D701" s="83" t="s">
        <v>1378</v>
      </c>
      <c r="E701" s="83" t="b">
        <v>0</v>
      </c>
      <c r="F701" s="83" t="b">
        <v>0</v>
      </c>
      <c r="G701" s="83" t="b">
        <v>0</v>
      </c>
    </row>
    <row r="702" spans="1:7" ht="15">
      <c r="A702" s="84" t="s">
        <v>1586</v>
      </c>
      <c r="B702" s="83">
        <v>5</v>
      </c>
      <c r="C702" s="110">
        <v>0.00382902157192647</v>
      </c>
      <c r="D702" s="83" t="s">
        <v>1378</v>
      </c>
      <c r="E702" s="83" t="b">
        <v>0</v>
      </c>
      <c r="F702" s="83" t="b">
        <v>0</v>
      </c>
      <c r="G702" s="83" t="b">
        <v>0</v>
      </c>
    </row>
    <row r="703" spans="1:7" ht="15">
      <c r="A703" s="84" t="s">
        <v>1577</v>
      </c>
      <c r="B703" s="83">
        <v>5</v>
      </c>
      <c r="C703" s="110">
        <v>0.004600102503442815</v>
      </c>
      <c r="D703" s="83" t="s">
        <v>1378</v>
      </c>
      <c r="E703" s="83" t="b">
        <v>0</v>
      </c>
      <c r="F703" s="83" t="b">
        <v>0</v>
      </c>
      <c r="G703" s="83" t="b">
        <v>0</v>
      </c>
    </row>
    <row r="704" spans="1:7" ht="15">
      <c r="A704" s="84" t="s">
        <v>1497</v>
      </c>
      <c r="B704" s="83">
        <v>5</v>
      </c>
      <c r="C704" s="110">
        <v>0.00382902157192647</v>
      </c>
      <c r="D704" s="83" t="s">
        <v>1378</v>
      </c>
      <c r="E704" s="83" t="b">
        <v>0</v>
      </c>
      <c r="F704" s="83" t="b">
        <v>0</v>
      </c>
      <c r="G704" s="83" t="b">
        <v>0</v>
      </c>
    </row>
    <row r="705" spans="1:7" ht="15">
      <c r="A705" s="84" t="s">
        <v>1570</v>
      </c>
      <c r="B705" s="83">
        <v>5</v>
      </c>
      <c r="C705" s="110">
        <v>0.0035807889566394405</v>
      </c>
      <c r="D705" s="83" t="s">
        <v>1378</v>
      </c>
      <c r="E705" s="83" t="b">
        <v>0</v>
      </c>
      <c r="F705" s="83" t="b">
        <v>0</v>
      </c>
      <c r="G705" s="83" t="b">
        <v>0</v>
      </c>
    </row>
    <row r="706" spans="1:7" ht="15">
      <c r="A706" s="84" t="s">
        <v>1532</v>
      </c>
      <c r="B706" s="83">
        <v>5</v>
      </c>
      <c r="C706" s="110">
        <v>0.0035807889566394405</v>
      </c>
      <c r="D706" s="83" t="s">
        <v>1378</v>
      </c>
      <c r="E706" s="83" t="b">
        <v>0</v>
      </c>
      <c r="F706" s="83" t="b">
        <v>0</v>
      </c>
      <c r="G706" s="83" t="b">
        <v>0</v>
      </c>
    </row>
    <row r="707" spans="1:7" ht="15">
      <c r="A707" s="84" t="s">
        <v>1575</v>
      </c>
      <c r="B707" s="83">
        <v>5</v>
      </c>
      <c r="C707" s="110">
        <v>0.0035807889566394405</v>
      </c>
      <c r="D707" s="83" t="s">
        <v>1378</v>
      </c>
      <c r="E707" s="83" t="b">
        <v>0</v>
      </c>
      <c r="F707" s="83" t="b">
        <v>0</v>
      </c>
      <c r="G707" s="83" t="b">
        <v>0</v>
      </c>
    </row>
    <row r="708" spans="1:7" ht="15">
      <c r="A708" s="84" t="s">
        <v>1585</v>
      </c>
      <c r="B708" s="83">
        <v>5</v>
      </c>
      <c r="C708" s="110">
        <v>0.004600102503442815</v>
      </c>
      <c r="D708" s="83" t="s">
        <v>1378</v>
      </c>
      <c r="E708" s="83" t="b">
        <v>0</v>
      </c>
      <c r="F708" s="83" t="b">
        <v>0</v>
      </c>
      <c r="G708" s="83" t="b">
        <v>0</v>
      </c>
    </row>
    <row r="709" spans="1:7" ht="15">
      <c r="A709" s="84" t="s">
        <v>1557</v>
      </c>
      <c r="B709" s="83">
        <v>5</v>
      </c>
      <c r="C709" s="110">
        <v>0.004149049073484615</v>
      </c>
      <c r="D709" s="83" t="s">
        <v>1378</v>
      </c>
      <c r="E709" s="83" t="b">
        <v>0</v>
      </c>
      <c r="F709" s="83" t="b">
        <v>0</v>
      </c>
      <c r="G709" s="83" t="b">
        <v>0</v>
      </c>
    </row>
    <row r="710" spans="1:7" ht="15">
      <c r="A710" s="84" t="s">
        <v>1548</v>
      </c>
      <c r="B710" s="83">
        <v>5</v>
      </c>
      <c r="C710" s="110">
        <v>0.00537118343495916</v>
      </c>
      <c r="D710" s="83" t="s">
        <v>1378</v>
      </c>
      <c r="E710" s="83" t="b">
        <v>0</v>
      </c>
      <c r="F710" s="83" t="b">
        <v>0</v>
      </c>
      <c r="G710" s="83" t="b">
        <v>0</v>
      </c>
    </row>
    <row r="711" spans="1:7" ht="15">
      <c r="A711" s="84" t="s">
        <v>1556</v>
      </c>
      <c r="B711" s="83">
        <v>5</v>
      </c>
      <c r="C711" s="110">
        <v>0.004149049073484615</v>
      </c>
      <c r="D711" s="83" t="s">
        <v>1378</v>
      </c>
      <c r="E711" s="83" t="b">
        <v>0</v>
      </c>
      <c r="F711" s="83" t="b">
        <v>0</v>
      </c>
      <c r="G711" s="83" t="b">
        <v>0</v>
      </c>
    </row>
    <row r="712" spans="1:7" ht="15">
      <c r="A712" s="84" t="s">
        <v>1537</v>
      </c>
      <c r="B712" s="83">
        <v>5</v>
      </c>
      <c r="C712" s="110">
        <v>0.00382902157192647</v>
      </c>
      <c r="D712" s="83" t="s">
        <v>1378</v>
      </c>
      <c r="E712" s="83" t="b">
        <v>0</v>
      </c>
      <c r="F712" s="83" t="b">
        <v>0</v>
      </c>
      <c r="G712" s="83" t="b">
        <v>0</v>
      </c>
    </row>
    <row r="713" spans="1:7" ht="15">
      <c r="A713" s="84" t="s">
        <v>1508</v>
      </c>
      <c r="B713" s="83">
        <v>5</v>
      </c>
      <c r="C713" s="110">
        <v>0.004149049073484615</v>
      </c>
      <c r="D713" s="83" t="s">
        <v>1378</v>
      </c>
      <c r="E713" s="83" t="b">
        <v>0</v>
      </c>
      <c r="F713" s="83" t="b">
        <v>0</v>
      </c>
      <c r="G713" s="83" t="b">
        <v>0</v>
      </c>
    </row>
    <row r="714" spans="1:7" ht="15">
      <c r="A714" s="84" t="s">
        <v>1567</v>
      </c>
      <c r="B714" s="83">
        <v>5</v>
      </c>
      <c r="C714" s="110">
        <v>0.00382902157192647</v>
      </c>
      <c r="D714" s="83" t="s">
        <v>1378</v>
      </c>
      <c r="E714" s="83" t="b">
        <v>0</v>
      </c>
      <c r="F714" s="83" t="b">
        <v>0</v>
      </c>
      <c r="G714" s="83" t="b">
        <v>0</v>
      </c>
    </row>
    <row r="715" spans="1:7" ht="15">
      <c r="A715" s="84" t="s">
        <v>1529</v>
      </c>
      <c r="B715" s="83">
        <v>5</v>
      </c>
      <c r="C715" s="110">
        <v>0.0035807889566394405</v>
      </c>
      <c r="D715" s="83" t="s">
        <v>1378</v>
      </c>
      <c r="E715" s="83" t="b">
        <v>1</v>
      </c>
      <c r="F715" s="83" t="b">
        <v>0</v>
      </c>
      <c r="G715" s="83" t="b">
        <v>0</v>
      </c>
    </row>
    <row r="716" spans="1:7" ht="15">
      <c r="A716" s="84" t="s">
        <v>1571</v>
      </c>
      <c r="B716" s="83">
        <v>5</v>
      </c>
      <c r="C716" s="110">
        <v>0.004149049073484615</v>
      </c>
      <c r="D716" s="83" t="s">
        <v>1378</v>
      </c>
      <c r="E716" s="83" t="b">
        <v>0</v>
      </c>
      <c r="F716" s="83" t="b">
        <v>0</v>
      </c>
      <c r="G716" s="83" t="b">
        <v>0</v>
      </c>
    </row>
    <row r="717" spans="1:7" ht="15">
      <c r="A717" s="84" t="s">
        <v>1519</v>
      </c>
      <c r="B717" s="83">
        <v>5</v>
      </c>
      <c r="C717" s="110">
        <v>0.0035807889566394405</v>
      </c>
      <c r="D717" s="83" t="s">
        <v>1378</v>
      </c>
      <c r="E717" s="83" t="b">
        <v>0</v>
      </c>
      <c r="F717" s="83" t="b">
        <v>1</v>
      </c>
      <c r="G717" s="83" t="b">
        <v>0</v>
      </c>
    </row>
    <row r="718" spans="1:7" ht="15">
      <c r="A718" s="84" t="s">
        <v>1485</v>
      </c>
      <c r="B718" s="83">
        <v>5</v>
      </c>
      <c r="C718" s="110">
        <v>0.0035807889566394405</v>
      </c>
      <c r="D718" s="83" t="s">
        <v>1378</v>
      </c>
      <c r="E718" s="83" t="b">
        <v>0</v>
      </c>
      <c r="F718" s="83" t="b">
        <v>0</v>
      </c>
      <c r="G718" s="83" t="b">
        <v>0</v>
      </c>
    </row>
    <row r="719" spans="1:7" ht="15">
      <c r="A719" s="84" t="s">
        <v>1565</v>
      </c>
      <c r="B719" s="83">
        <v>5</v>
      </c>
      <c r="C719" s="110">
        <v>0.0035807889566394405</v>
      </c>
      <c r="D719" s="83" t="s">
        <v>1378</v>
      </c>
      <c r="E719" s="83" t="b">
        <v>0</v>
      </c>
      <c r="F719" s="83" t="b">
        <v>0</v>
      </c>
      <c r="G719" s="83" t="b">
        <v>0</v>
      </c>
    </row>
    <row r="720" spans="1:7" ht="15">
      <c r="A720" s="84" t="s">
        <v>1488</v>
      </c>
      <c r="B720" s="83">
        <v>5</v>
      </c>
      <c r="C720" s="110">
        <v>0.004149049073484615</v>
      </c>
      <c r="D720" s="83" t="s">
        <v>1378</v>
      </c>
      <c r="E720" s="83" t="b">
        <v>0</v>
      </c>
      <c r="F720" s="83" t="b">
        <v>0</v>
      </c>
      <c r="G720" s="83" t="b">
        <v>0</v>
      </c>
    </row>
    <row r="721" spans="1:7" ht="15">
      <c r="A721" s="84" t="s">
        <v>1524</v>
      </c>
      <c r="B721" s="83">
        <v>5</v>
      </c>
      <c r="C721" s="110">
        <v>0.0035807889566394405</v>
      </c>
      <c r="D721" s="83" t="s">
        <v>1378</v>
      </c>
      <c r="E721" s="83" t="b">
        <v>0</v>
      </c>
      <c r="F721" s="83" t="b">
        <v>0</v>
      </c>
      <c r="G721" s="83" t="b">
        <v>0</v>
      </c>
    </row>
    <row r="722" spans="1:7" ht="15">
      <c r="A722" s="84" t="s">
        <v>1578</v>
      </c>
      <c r="B722" s="83">
        <v>5</v>
      </c>
      <c r="C722" s="110">
        <v>0.004149049073484615</v>
      </c>
      <c r="D722" s="83" t="s">
        <v>1378</v>
      </c>
      <c r="E722" s="83" t="b">
        <v>0</v>
      </c>
      <c r="F722" s="83" t="b">
        <v>0</v>
      </c>
      <c r="G722" s="83" t="b">
        <v>0</v>
      </c>
    </row>
    <row r="723" spans="1:7" ht="15">
      <c r="A723" s="84" t="s">
        <v>1461</v>
      </c>
      <c r="B723" s="83">
        <v>5</v>
      </c>
      <c r="C723" s="110">
        <v>0.0035807889566394405</v>
      </c>
      <c r="D723" s="83" t="s">
        <v>1378</v>
      </c>
      <c r="E723" s="83" t="b">
        <v>1</v>
      </c>
      <c r="F723" s="83" t="b">
        <v>0</v>
      </c>
      <c r="G723" s="83" t="b">
        <v>0</v>
      </c>
    </row>
    <row r="724" spans="1:7" ht="15">
      <c r="A724" s="84" t="s">
        <v>1576</v>
      </c>
      <c r="B724" s="83">
        <v>4</v>
      </c>
      <c r="C724" s="110">
        <v>0.0030632172575411763</v>
      </c>
      <c r="D724" s="83" t="s">
        <v>1378</v>
      </c>
      <c r="E724" s="83" t="b">
        <v>0</v>
      </c>
      <c r="F724" s="83" t="b">
        <v>0</v>
      </c>
      <c r="G724" s="83" t="b">
        <v>0</v>
      </c>
    </row>
    <row r="725" spans="1:7" ht="15">
      <c r="A725" s="84" t="s">
        <v>1511</v>
      </c>
      <c r="B725" s="83">
        <v>4</v>
      </c>
      <c r="C725" s="110">
        <v>0.0033192392587876925</v>
      </c>
      <c r="D725" s="83" t="s">
        <v>1378</v>
      </c>
      <c r="E725" s="83" t="b">
        <v>0</v>
      </c>
      <c r="F725" s="83" t="b">
        <v>0</v>
      </c>
      <c r="G725" s="83" t="b">
        <v>0</v>
      </c>
    </row>
    <row r="726" spans="1:7" ht="15">
      <c r="A726" s="84" t="s">
        <v>1628</v>
      </c>
      <c r="B726" s="83">
        <v>4</v>
      </c>
      <c r="C726" s="110">
        <v>0.0030632172575411763</v>
      </c>
      <c r="D726" s="83" t="s">
        <v>1378</v>
      </c>
      <c r="E726" s="83" t="b">
        <v>0</v>
      </c>
      <c r="F726" s="83" t="b">
        <v>0</v>
      </c>
      <c r="G726" s="83" t="b">
        <v>0</v>
      </c>
    </row>
    <row r="727" spans="1:7" ht="15">
      <c r="A727" s="84" t="s">
        <v>1604</v>
      </c>
      <c r="B727" s="83">
        <v>4</v>
      </c>
      <c r="C727" s="110">
        <v>0.0030632172575411763</v>
      </c>
      <c r="D727" s="83" t="s">
        <v>1378</v>
      </c>
      <c r="E727" s="83" t="b">
        <v>0</v>
      </c>
      <c r="F727" s="83" t="b">
        <v>0</v>
      </c>
      <c r="G727" s="83" t="b">
        <v>0</v>
      </c>
    </row>
    <row r="728" spans="1:7" ht="15">
      <c r="A728" s="84" t="s">
        <v>1499</v>
      </c>
      <c r="B728" s="83">
        <v>4</v>
      </c>
      <c r="C728" s="110">
        <v>0.0030632172575411763</v>
      </c>
      <c r="D728" s="83" t="s">
        <v>1378</v>
      </c>
      <c r="E728" s="83" t="b">
        <v>0</v>
      </c>
      <c r="F728" s="83" t="b">
        <v>0</v>
      </c>
      <c r="G728" s="83" t="b">
        <v>0</v>
      </c>
    </row>
    <row r="729" spans="1:7" ht="15">
      <c r="A729" s="84" t="s">
        <v>1561</v>
      </c>
      <c r="B729" s="83">
        <v>4</v>
      </c>
      <c r="C729" s="110">
        <v>0.0030632172575411763</v>
      </c>
      <c r="D729" s="83" t="s">
        <v>1378</v>
      </c>
      <c r="E729" s="83" t="b">
        <v>0</v>
      </c>
      <c r="F729" s="83" t="b">
        <v>0</v>
      </c>
      <c r="G729" s="83" t="b">
        <v>0</v>
      </c>
    </row>
    <row r="730" spans="1:7" ht="15">
      <c r="A730" s="84" t="s">
        <v>1579</v>
      </c>
      <c r="B730" s="83">
        <v>4</v>
      </c>
      <c r="C730" s="110">
        <v>0.0030632172575411763</v>
      </c>
      <c r="D730" s="83" t="s">
        <v>1378</v>
      </c>
      <c r="E730" s="83" t="b">
        <v>0</v>
      </c>
      <c r="F730" s="83" t="b">
        <v>0</v>
      </c>
      <c r="G730" s="83" t="b">
        <v>0</v>
      </c>
    </row>
    <row r="731" spans="1:7" ht="15">
      <c r="A731" s="84" t="s">
        <v>1554</v>
      </c>
      <c r="B731" s="83">
        <v>4</v>
      </c>
      <c r="C731" s="110">
        <v>0.0033192392587876925</v>
      </c>
      <c r="D731" s="83" t="s">
        <v>1378</v>
      </c>
      <c r="E731" s="83" t="b">
        <v>0</v>
      </c>
      <c r="F731" s="83" t="b">
        <v>0</v>
      </c>
      <c r="G731" s="83" t="b">
        <v>0</v>
      </c>
    </row>
    <row r="732" spans="1:7" ht="15">
      <c r="A732" s="84" t="s">
        <v>1545</v>
      </c>
      <c r="B732" s="83">
        <v>4</v>
      </c>
      <c r="C732" s="110">
        <v>0.0033192392587876925</v>
      </c>
      <c r="D732" s="83" t="s">
        <v>1378</v>
      </c>
      <c r="E732" s="83" t="b">
        <v>0</v>
      </c>
      <c r="F732" s="83" t="b">
        <v>0</v>
      </c>
      <c r="G732" s="83" t="b">
        <v>0</v>
      </c>
    </row>
    <row r="733" spans="1:7" ht="15">
      <c r="A733" s="84" t="s">
        <v>1572</v>
      </c>
      <c r="B733" s="83">
        <v>4</v>
      </c>
      <c r="C733" s="110">
        <v>0.0033192392587876925</v>
      </c>
      <c r="D733" s="83" t="s">
        <v>1378</v>
      </c>
      <c r="E733" s="83" t="b">
        <v>0</v>
      </c>
      <c r="F733" s="83" t="b">
        <v>0</v>
      </c>
      <c r="G733" s="83" t="b">
        <v>0</v>
      </c>
    </row>
    <row r="734" spans="1:7" ht="15">
      <c r="A734" s="84" t="s">
        <v>1624</v>
      </c>
      <c r="B734" s="83">
        <v>4</v>
      </c>
      <c r="C734" s="110">
        <v>0.003680082002754253</v>
      </c>
      <c r="D734" s="83" t="s">
        <v>1378</v>
      </c>
      <c r="E734" s="83" t="b">
        <v>0</v>
      </c>
      <c r="F734" s="83" t="b">
        <v>0</v>
      </c>
      <c r="G734" s="83" t="b">
        <v>0</v>
      </c>
    </row>
    <row r="735" spans="1:7" ht="15">
      <c r="A735" s="84" t="s">
        <v>1608</v>
      </c>
      <c r="B735" s="83">
        <v>4</v>
      </c>
      <c r="C735" s="110">
        <v>0.0033192392587876925</v>
      </c>
      <c r="D735" s="83" t="s">
        <v>1378</v>
      </c>
      <c r="E735" s="83" t="b">
        <v>0</v>
      </c>
      <c r="F735" s="83" t="b">
        <v>0</v>
      </c>
      <c r="G735" s="83" t="b">
        <v>0</v>
      </c>
    </row>
    <row r="736" spans="1:7" ht="15">
      <c r="A736" s="84" t="s">
        <v>1539</v>
      </c>
      <c r="B736" s="83">
        <v>4</v>
      </c>
      <c r="C736" s="110">
        <v>0.003680082002754253</v>
      </c>
      <c r="D736" s="83" t="s">
        <v>1378</v>
      </c>
      <c r="E736" s="83" t="b">
        <v>0</v>
      </c>
      <c r="F736" s="83" t="b">
        <v>0</v>
      </c>
      <c r="G736" s="83" t="b">
        <v>0</v>
      </c>
    </row>
    <row r="737" spans="1:7" ht="15">
      <c r="A737" s="84" t="s">
        <v>1610</v>
      </c>
      <c r="B737" s="83">
        <v>4</v>
      </c>
      <c r="C737" s="110">
        <v>0.0030632172575411763</v>
      </c>
      <c r="D737" s="83" t="s">
        <v>1378</v>
      </c>
      <c r="E737" s="83" t="b">
        <v>0</v>
      </c>
      <c r="F737" s="83" t="b">
        <v>0</v>
      </c>
      <c r="G737" s="83" t="b">
        <v>0</v>
      </c>
    </row>
    <row r="738" spans="1:7" ht="15">
      <c r="A738" s="84" t="s">
        <v>1538</v>
      </c>
      <c r="B738" s="83">
        <v>4</v>
      </c>
      <c r="C738" s="110">
        <v>0.003680082002754253</v>
      </c>
      <c r="D738" s="83" t="s">
        <v>1378</v>
      </c>
      <c r="E738" s="83" t="b">
        <v>0</v>
      </c>
      <c r="F738" s="83" t="b">
        <v>0</v>
      </c>
      <c r="G738" s="83" t="b">
        <v>0</v>
      </c>
    </row>
    <row r="739" spans="1:7" ht="15">
      <c r="A739" s="84" t="s">
        <v>1535</v>
      </c>
      <c r="B739" s="83">
        <v>4</v>
      </c>
      <c r="C739" s="110">
        <v>0.0030632172575411763</v>
      </c>
      <c r="D739" s="83" t="s">
        <v>1378</v>
      </c>
      <c r="E739" s="83" t="b">
        <v>0</v>
      </c>
      <c r="F739" s="83" t="b">
        <v>0</v>
      </c>
      <c r="G739" s="83" t="b">
        <v>0</v>
      </c>
    </row>
    <row r="740" spans="1:7" ht="15">
      <c r="A740" s="84" t="s">
        <v>1605</v>
      </c>
      <c r="B740" s="83">
        <v>4</v>
      </c>
      <c r="C740" s="110">
        <v>0.0033192392587876925</v>
      </c>
      <c r="D740" s="83" t="s">
        <v>1378</v>
      </c>
      <c r="E740" s="83" t="b">
        <v>0</v>
      </c>
      <c r="F740" s="83" t="b">
        <v>0</v>
      </c>
      <c r="G740" s="83" t="b">
        <v>0</v>
      </c>
    </row>
    <row r="741" spans="1:7" ht="15">
      <c r="A741" s="84" t="s">
        <v>1484</v>
      </c>
      <c r="B741" s="83">
        <v>4</v>
      </c>
      <c r="C741" s="110">
        <v>0.0030632172575411763</v>
      </c>
      <c r="D741" s="83" t="s">
        <v>1378</v>
      </c>
      <c r="E741" s="83" t="b">
        <v>1</v>
      </c>
      <c r="F741" s="83" t="b">
        <v>0</v>
      </c>
      <c r="G741" s="83" t="b">
        <v>0</v>
      </c>
    </row>
    <row r="742" spans="1:7" ht="15">
      <c r="A742" s="84" t="s">
        <v>1607</v>
      </c>
      <c r="B742" s="83">
        <v>4</v>
      </c>
      <c r="C742" s="110">
        <v>0.0030632172575411763</v>
      </c>
      <c r="D742" s="83" t="s">
        <v>1378</v>
      </c>
      <c r="E742" s="83" t="b">
        <v>0</v>
      </c>
      <c r="F742" s="83" t="b">
        <v>1</v>
      </c>
      <c r="G742" s="83" t="b">
        <v>0</v>
      </c>
    </row>
    <row r="743" spans="1:7" ht="15">
      <c r="A743" s="84" t="s">
        <v>1540</v>
      </c>
      <c r="B743" s="83">
        <v>4</v>
      </c>
      <c r="C743" s="110">
        <v>0.0030632172575411763</v>
      </c>
      <c r="D743" s="83" t="s">
        <v>1378</v>
      </c>
      <c r="E743" s="83" t="b">
        <v>0</v>
      </c>
      <c r="F743" s="83" t="b">
        <v>0</v>
      </c>
      <c r="G743" s="83" t="b">
        <v>0</v>
      </c>
    </row>
    <row r="744" spans="1:7" ht="15">
      <c r="A744" s="84" t="s">
        <v>1522</v>
      </c>
      <c r="B744" s="83">
        <v>4</v>
      </c>
      <c r="C744" s="110">
        <v>0.0033192392587876925</v>
      </c>
      <c r="D744" s="83" t="s">
        <v>1378</v>
      </c>
      <c r="E744" s="83" t="b">
        <v>0</v>
      </c>
      <c r="F744" s="83" t="b">
        <v>0</v>
      </c>
      <c r="G744" s="83" t="b">
        <v>0</v>
      </c>
    </row>
    <row r="745" spans="1:7" ht="15">
      <c r="A745" s="84" t="s">
        <v>1592</v>
      </c>
      <c r="B745" s="83">
        <v>4</v>
      </c>
      <c r="C745" s="110">
        <v>0.004296946747967329</v>
      </c>
      <c r="D745" s="83" t="s">
        <v>1378</v>
      </c>
      <c r="E745" s="83" t="b">
        <v>0</v>
      </c>
      <c r="F745" s="83" t="b">
        <v>0</v>
      </c>
      <c r="G745" s="83" t="b">
        <v>0</v>
      </c>
    </row>
    <row r="746" spans="1:7" ht="15">
      <c r="A746" s="84" t="s">
        <v>1531</v>
      </c>
      <c r="B746" s="83">
        <v>4</v>
      </c>
      <c r="C746" s="110">
        <v>0.0033192392587876925</v>
      </c>
      <c r="D746" s="83" t="s">
        <v>1378</v>
      </c>
      <c r="E746" s="83" t="b">
        <v>0</v>
      </c>
      <c r="F746" s="83" t="b">
        <v>1</v>
      </c>
      <c r="G746" s="83" t="b">
        <v>0</v>
      </c>
    </row>
    <row r="747" spans="1:7" ht="15">
      <c r="A747" s="84" t="s">
        <v>1453</v>
      </c>
      <c r="B747" s="83">
        <v>4</v>
      </c>
      <c r="C747" s="110">
        <v>0.003680082002754253</v>
      </c>
      <c r="D747" s="83" t="s">
        <v>1378</v>
      </c>
      <c r="E747" s="83" t="b">
        <v>0</v>
      </c>
      <c r="F747" s="83" t="b">
        <v>0</v>
      </c>
      <c r="G747" s="83" t="b">
        <v>0</v>
      </c>
    </row>
    <row r="748" spans="1:7" ht="15">
      <c r="A748" s="84" t="s">
        <v>1487</v>
      </c>
      <c r="B748" s="83">
        <v>4</v>
      </c>
      <c r="C748" s="110">
        <v>0.0030632172575411763</v>
      </c>
      <c r="D748" s="83" t="s">
        <v>1378</v>
      </c>
      <c r="E748" s="83" t="b">
        <v>0</v>
      </c>
      <c r="F748" s="83" t="b">
        <v>0</v>
      </c>
      <c r="G748" s="83" t="b">
        <v>0</v>
      </c>
    </row>
    <row r="749" spans="1:7" ht="15">
      <c r="A749" s="84" t="s">
        <v>1603</v>
      </c>
      <c r="B749" s="83">
        <v>4</v>
      </c>
      <c r="C749" s="110">
        <v>0.0030632172575411763</v>
      </c>
      <c r="D749" s="83" t="s">
        <v>1378</v>
      </c>
      <c r="E749" s="83" t="b">
        <v>0</v>
      </c>
      <c r="F749" s="83" t="b">
        <v>0</v>
      </c>
      <c r="G749" s="83" t="b">
        <v>0</v>
      </c>
    </row>
    <row r="750" spans="1:7" ht="15">
      <c r="A750" s="84" t="s">
        <v>1501</v>
      </c>
      <c r="B750" s="83">
        <v>4</v>
      </c>
      <c r="C750" s="110">
        <v>0.0030632172575411763</v>
      </c>
      <c r="D750" s="83" t="s">
        <v>1378</v>
      </c>
      <c r="E750" s="83" t="b">
        <v>0</v>
      </c>
      <c r="F750" s="83" t="b">
        <v>0</v>
      </c>
      <c r="G750" s="83" t="b">
        <v>0</v>
      </c>
    </row>
    <row r="751" spans="1:7" ht="15">
      <c r="A751" s="84" t="s">
        <v>1465</v>
      </c>
      <c r="B751" s="83">
        <v>4</v>
      </c>
      <c r="C751" s="110">
        <v>0.0033192392587876925</v>
      </c>
      <c r="D751" s="83" t="s">
        <v>1378</v>
      </c>
      <c r="E751" s="83" t="b">
        <v>0</v>
      </c>
      <c r="F751" s="83" t="b">
        <v>0</v>
      </c>
      <c r="G751" s="83" t="b">
        <v>0</v>
      </c>
    </row>
    <row r="752" spans="1:7" ht="15">
      <c r="A752" s="84" t="s">
        <v>1616</v>
      </c>
      <c r="B752" s="83">
        <v>4</v>
      </c>
      <c r="C752" s="110">
        <v>0.0033192392587876925</v>
      </c>
      <c r="D752" s="83" t="s">
        <v>1378</v>
      </c>
      <c r="E752" s="83" t="b">
        <v>0</v>
      </c>
      <c r="F752" s="83" t="b">
        <v>0</v>
      </c>
      <c r="G752" s="83" t="b">
        <v>0</v>
      </c>
    </row>
    <row r="753" spans="1:7" ht="15">
      <c r="A753" s="84" t="s">
        <v>1627</v>
      </c>
      <c r="B753" s="83">
        <v>4</v>
      </c>
      <c r="C753" s="110">
        <v>0.0033192392587876925</v>
      </c>
      <c r="D753" s="83" t="s">
        <v>1378</v>
      </c>
      <c r="E753" s="83" t="b">
        <v>0</v>
      </c>
      <c r="F753" s="83" t="b">
        <v>0</v>
      </c>
      <c r="G753" s="83" t="b">
        <v>0</v>
      </c>
    </row>
    <row r="754" spans="1:7" ht="15">
      <c r="A754" s="84" t="s">
        <v>1642</v>
      </c>
      <c r="B754" s="83">
        <v>4</v>
      </c>
      <c r="C754" s="110">
        <v>0.003680082002754253</v>
      </c>
      <c r="D754" s="83" t="s">
        <v>1378</v>
      </c>
      <c r="E754" s="83" t="b">
        <v>0</v>
      </c>
      <c r="F754" s="83" t="b">
        <v>0</v>
      </c>
      <c r="G754" s="83" t="b">
        <v>0</v>
      </c>
    </row>
    <row r="755" spans="1:7" ht="15">
      <c r="A755" s="84" t="s">
        <v>1649</v>
      </c>
      <c r="B755" s="83">
        <v>3</v>
      </c>
      <c r="C755" s="110">
        <v>0.0027600615020656892</v>
      </c>
      <c r="D755" s="83" t="s">
        <v>1378</v>
      </c>
      <c r="E755" s="83" t="b">
        <v>0</v>
      </c>
      <c r="F755" s="83" t="b">
        <v>0</v>
      </c>
      <c r="G755" s="83" t="b">
        <v>0</v>
      </c>
    </row>
    <row r="756" spans="1:7" ht="15">
      <c r="A756" s="84" t="s">
        <v>1643</v>
      </c>
      <c r="B756" s="83">
        <v>3</v>
      </c>
      <c r="C756" s="110">
        <v>0.0027600615020656892</v>
      </c>
      <c r="D756" s="83" t="s">
        <v>1378</v>
      </c>
      <c r="E756" s="83" t="b">
        <v>0</v>
      </c>
      <c r="F756" s="83" t="b">
        <v>0</v>
      </c>
      <c r="G756" s="83" t="b">
        <v>0</v>
      </c>
    </row>
    <row r="757" spans="1:7" ht="15">
      <c r="A757" s="84" t="s">
        <v>1471</v>
      </c>
      <c r="B757" s="83">
        <v>3</v>
      </c>
      <c r="C757" s="110">
        <v>0.0027600615020656892</v>
      </c>
      <c r="D757" s="83" t="s">
        <v>1378</v>
      </c>
      <c r="E757" s="83" t="b">
        <v>0</v>
      </c>
      <c r="F757" s="83" t="b">
        <v>0</v>
      </c>
      <c r="G757" s="83" t="b">
        <v>0</v>
      </c>
    </row>
    <row r="758" spans="1:7" ht="15">
      <c r="A758" s="84" t="s">
        <v>1755</v>
      </c>
      <c r="B758" s="83">
        <v>3</v>
      </c>
      <c r="C758" s="110">
        <v>0.0024894294440907694</v>
      </c>
      <c r="D758" s="83" t="s">
        <v>1378</v>
      </c>
      <c r="E758" s="83" t="b">
        <v>0</v>
      </c>
      <c r="F758" s="83" t="b">
        <v>0</v>
      </c>
      <c r="G758" s="83" t="b">
        <v>0</v>
      </c>
    </row>
    <row r="759" spans="1:7" ht="15">
      <c r="A759" s="84" t="s">
        <v>1695</v>
      </c>
      <c r="B759" s="83">
        <v>3</v>
      </c>
      <c r="C759" s="110">
        <v>0.0027600615020656892</v>
      </c>
      <c r="D759" s="83" t="s">
        <v>1378</v>
      </c>
      <c r="E759" s="83" t="b">
        <v>0</v>
      </c>
      <c r="F759" s="83" t="b">
        <v>0</v>
      </c>
      <c r="G759" s="83" t="b">
        <v>0</v>
      </c>
    </row>
    <row r="760" spans="1:7" ht="15">
      <c r="A760" s="84" t="s">
        <v>1716</v>
      </c>
      <c r="B760" s="83">
        <v>3</v>
      </c>
      <c r="C760" s="110">
        <v>0.0024894294440907694</v>
      </c>
      <c r="D760" s="83" t="s">
        <v>1378</v>
      </c>
      <c r="E760" s="83" t="b">
        <v>0</v>
      </c>
      <c r="F760" s="83" t="b">
        <v>0</v>
      </c>
      <c r="G760" s="83" t="b">
        <v>0</v>
      </c>
    </row>
    <row r="761" spans="1:7" ht="15">
      <c r="A761" s="84" t="s">
        <v>1709</v>
      </c>
      <c r="B761" s="83">
        <v>3</v>
      </c>
      <c r="C761" s="110">
        <v>0.0024894294440907694</v>
      </c>
      <c r="D761" s="83" t="s">
        <v>1378</v>
      </c>
      <c r="E761" s="83" t="b">
        <v>0</v>
      </c>
      <c r="F761" s="83" t="b">
        <v>0</v>
      </c>
      <c r="G761" s="83" t="b">
        <v>0</v>
      </c>
    </row>
    <row r="762" spans="1:7" ht="15">
      <c r="A762" s="84" t="s">
        <v>1598</v>
      </c>
      <c r="B762" s="83">
        <v>3</v>
      </c>
      <c r="C762" s="110">
        <v>0.0024894294440907694</v>
      </c>
      <c r="D762" s="83" t="s">
        <v>1378</v>
      </c>
      <c r="E762" s="83" t="b">
        <v>0</v>
      </c>
      <c r="F762" s="83" t="b">
        <v>0</v>
      </c>
      <c r="G762" s="83" t="b">
        <v>0</v>
      </c>
    </row>
    <row r="763" spans="1:7" ht="15">
      <c r="A763" s="84" t="s">
        <v>1591</v>
      </c>
      <c r="B763" s="83">
        <v>3</v>
      </c>
      <c r="C763" s="110">
        <v>0.0027600615020656892</v>
      </c>
      <c r="D763" s="83" t="s">
        <v>1378</v>
      </c>
      <c r="E763" s="83" t="b">
        <v>0</v>
      </c>
      <c r="F763" s="83" t="b">
        <v>0</v>
      </c>
      <c r="G763" s="83" t="b">
        <v>0</v>
      </c>
    </row>
    <row r="764" spans="1:7" ht="15">
      <c r="A764" s="84" t="s">
        <v>1618</v>
      </c>
      <c r="B764" s="83">
        <v>3</v>
      </c>
      <c r="C764" s="110">
        <v>0.0024894294440907694</v>
      </c>
      <c r="D764" s="83" t="s">
        <v>1378</v>
      </c>
      <c r="E764" s="83" t="b">
        <v>0</v>
      </c>
      <c r="F764" s="83" t="b">
        <v>0</v>
      </c>
      <c r="G764" s="83" t="b">
        <v>0</v>
      </c>
    </row>
    <row r="765" spans="1:7" ht="15">
      <c r="A765" s="84" t="s">
        <v>1656</v>
      </c>
      <c r="B765" s="83">
        <v>3</v>
      </c>
      <c r="C765" s="110">
        <v>0.0027600615020656892</v>
      </c>
      <c r="D765" s="83" t="s">
        <v>1378</v>
      </c>
      <c r="E765" s="83" t="b">
        <v>0</v>
      </c>
      <c r="F765" s="83" t="b">
        <v>0</v>
      </c>
      <c r="G765" s="83" t="b">
        <v>0</v>
      </c>
    </row>
    <row r="766" spans="1:7" ht="15">
      <c r="A766" s="84" t="s">
        <v>1669</v>
      </c>
      <c r="B766" s="83">
        <v>3</v>
      </c>
      <c r="C766" s="110">
        <v>0.0024894294440907694</v>
      </c>
      <c r="D766" s="83" t="s">
        <v>1378</v>
      </c>
      <c r="E766" s="83" t="b">
        <v>1</v>
      </c>
      <c r="F766" s="83" t="b">
        <v>0</v>
      </c>
      <c r="G766" s="83" t="b">
        <v>0</v>
      </c>
    </row>
    <row r="767" spans="1:7" ht="15">
      <c r="A767" s="84" t="s">
        <v>1547</v>
      </c>
      <c r="B767" s="83">
        <v>3</v>
      </c>
      <c r="C767" s="110">
        <v>0.0024894294440907694</v>
      </c>
      <c r="D767" s="83" t="s">
        <v>1378</v>
      </c>
      <c r="E767" s="83" t="b">
        <v>0</v>
      </c>
      <c r="F767" s="83" t="b">
        <v>0</v>
      </c>
      <c r="G767" s="83" t="b">
        <v>0</v>
      </c>
    </row>
    <row r="768" spans="1:7" ht="15">
      <c r="A768" s="84" t="s">
        <v>1735</v>
      </c>
      <c r="B768" s="83">
        <v>3</v>
      </c>
      <c r="C768" s="110">
        <v>0.0024894294440907694</v>
      </c>
      <c r="D768" s="83" t="s">
        <v>1378</v>
      </c>
      <c r="E768" s="83" t="b">
        <v>0</v>
      </c>
      <c r="F768" s="83" t="b">
        <v>0</v>
      </c>
      <c r="G768" s="83" t="b">
        <v>0</v>
      </c>
    </row>
    <row r="769" spans="1:7" ht="15">
      <c r="A769" s="84" t="s">
        <v>1736</v>
      </c>
      <c r="B769" s="83">
        <v>3</v>
      </c>
      <c r="C769" s="110">
        <v>0.0024894294440907694</v>
      </c>
      <c r="D769" s="83" t="s">
        <v>1378</v>
      </c>
      <c r="E769" s="83" t="b">
        <v>0</v>
      </c>
      <c r="F769" s="83" t="b">
        <v>0</v>
      </c>
      <c r="G769" s="83" t="b">
        <v>0</v>
      </c>
    </row>
    <row r="770" spans="1:7" ht="15">
      <c r="A770" s="84" t="s">
        <v>1737</v>
      </c>
      <c r="B770" s="83">
        <v>3</v>
      </c>
      <c r="C770" s="110">
        <v>0.0024894294440907694</v>
      </c>
      <c r="D770" s="83" t="s">
        <v>1378</v>
      </c>
      <c r="E770" s="83" t="b">
        <v>0</v>
      </c>
      <c r="F770" s="83" t="b">
        <v>0</v>
      </c>
      <c r="G770" s="83" t="b">
        <v>0</v>
      </c>
    </row>
    <row r="771" spans="1:7" ht="15">
      <c r="A771" s="84" t="s">
        <v>1631</v>
      </c>
      <c r="B771" s="83">
        <v>3</v>
      </c>
      <c r="C771" s="110">
        <v>0.0024894294440907694</v>
      </c>
      <c r="D771" s="83" t="s">
        <v>1378</v>
      </c>
      <c r="E771" s="83" t="b">
        <v>0</v>
      </c>
      <c r="F771" s="83" t="b">
        <v>0</v>
      </c>
      <c r="G771" s="83" t="b">
        <v>0</v>
      </c>
    </row>
    <row r="772" spans="1:7" ht="15">
      <c r="A772" s="84" t="s">
        <v>1703</v>
      </c>
      <c r="B772" s="83">
        <v>3</v>
      </c>
      <c r="C772" s="110">
        <v>0.0027600615020656892</v>
      </c>
      <c r="D772" s="83" t="s">
        <v>1378</v>
      </c>
      <c r="E772" s="83" t="b">
        <v>0</v>
      </c>
      <c r="F772" s="83" t="b">
        <v>0</v>
      </c>
      <c r="G772" s="83" t="b">
        <v>0</v>
      </c>
    </row>
    <row r="773" spans="1:7" ht="15">
      <c r="A773" s="84" t="s">
        <v>1668</v>
      </c>
      <c r="B773" s="83">
        <v>3</v>
      </c>
      <c r="C773" s="110">
        <v>0.0024894294440907694</v>
      </c>
      <c r="D773" s="83" t="s">
        <v>1378</v>
      </c>
      <c r="E773" s="83" t="b">
        <v>0</v>
      </c>
      <c r="F773" s="83" t="b">
        <v>0</v>
      </c>
      <c r="G773" s="83" t="b">
        <v>0</v>
      </c>
    </row>
    <row r="774" spans="1:7" ht="15">
      <c r="A774" s="84" t="s">
        <v>1687</v>
      </c>
      <c r="B774" s="83">
        <v>3</v>
      </c>
      <c r="C774" s="110">
        <v>0.0027600615020656892</v>
      </c>
      <c r="D774" s="83" t="s">
        <v>1378</v>
      </c>
      <c r="E774" s="83" t="b">
        <v>0</v>
      </c>
      <c r="F774" s="83" t="b">
        <v>0</v>
      </c>
      <c r="G774" s="83" t="b">
        <v>0</v>
      </c>
    </row>
    <row r="775" spans="1:7" ht="15">
      <c r="A775" s="84" t="s">
        <v>1552</v>
      </c>
      <c r="B775" s="83">
        <v>3</v>
      </c>
      <c r="C775" s="110">
        <v>0.0024894294440907694</v>
      </c>
      <c r="D775" s="83" t="s">
        <v>1378</v>
      </c>
      <c r="E775" s="83" t="b">
        <v>0</v>
      </c>
      <c r="F775" s="83" t="b">
        <v>0</v>
      </c>
      <c r="G775" s="83" t="b">
        <v>0</v>
      </c>
    </row>
    <row r="776" spans="1:7" ht="15">
      <c r="A776" s="84" t="s">
        <v>1679</v>
      </c>
      <c r="B776" s="83">
        <v>3</v>
      </c>
      <c r="C776" s="110">
        <v>0.0027600615020656892</v>
      </c>
      <c r="D776" s="83" t="s">
        <v>1378</v>
      </c>
      <c r="E776" s="83" t="b">
        <v>0</v>
      </c>
      <c r="F776" s="83" t="b">
        <v>0</v>
      </c>
      <c r="G776" s="83" t="b">
        <v>0</v>
      </c>
    </row>
    <row r="777" spans="1:7" ht="15">
      <c r="A777" s="84" t="s">
        <v>1720</v>
      </c>
      <c r="B777" s="83">
        <v>3</v>
      </c>
      <c r="C777" s="110">
        <v>0.0027600615020656892</v>
      </c>
      <c r="D777" s="83" t="s">
        <v>1378</v>
      </c>
      <c r="E777" s="83" t="b">
        <v>0</v>
      </c>
      <c r="F777" s="83" t="b">
        <v>0</v>
      </c>
      <c r="G777" s="83" t="b">
        <v>0</v>
      </c>
    </row>
    <row r="778" spans="1:7" ht="15">
      <c r="A778" s="84" t="s">
        <v>1671</v>
      </c>
      <c r="B778" s="83">
        <v>3</v>
      </c>
      <c r="C778" s="110">
        <v>0.0024894294440907694</v>
      </c>
      <c r="D778" s="83" t="s">
        <v>1378</v>
      </c>
      <c r="E778" s="83" t="b">
        <v>0</v>
      </c>
      <c r="F778" s="83" t="b">
        <v>0</v>
      </c>
      <c r="G778" s="83" t="b">
        <v>0</v>
      </c>
    </row>
    <row r="779" spans="1:7" ht="15">
      <c r="A779" s="84" t="s">
        <v>1702</v>
      </c>
      <c r="B779" s="83">
        <v>3</v>
      </c>
      <c r="C779" s="110">
        <v>0.0024894294440907694</v>
      </c>
      <c r="D779" s="83" t="s">
        <v>1378</v>
      </c>
      <c r="E779" s="83" t="b">
        <v>0</v>
      </c>
      <c r="F779" s="83" t="b">
        <v>0</v>
      </c>
      <c r="G779" s="83" t="b">
        <v>0</v>
      </c>
    </row>
    <row r="780" spans="1:7" ht="15">
      <c r="A780" s="84" t="s">
        <v>1525</v>
      </c>
      <c r="B780" s="83">
        <v>3</v>
      </c>
      <c r="C780" s="110">
        <v>0.0024894294440907694</v>
      </c>
      <c r="D780" s="83" t="s">
        <v>1378</v>
      </c>
      <c r="E780" s="83" t="b">
        <v>0</v>
      </c>
      <c r="F780" s="83" t="b">
        <v>0</v>
      </c>
      <c r="G780" s="83" t="b">
        <v>0</v>
      </c>
    </row>
    <row r="781" spans="1:7" ht="15">
      <c r="A781" s="84" t="s">
        <v>1731</v>
      </c>
      <c r="B781" s="83">
        <v>3</v>
      </c>
      <c r="C781" s="110">
        <v>0.0024894294440907694</v>
      </c>
      <c r="D781" s="83" t="s">
        <v>1378</v>
      </c>
      <c r="E781" s="83" t="b">
        <v>0</v>
      </c>
      <c r="F781" s="83" t="b">
        <v>0</v>
      </c>
      <c r="G781" s="83" t="b">
        <v>0</v>
      </c>
    </row>
    <row r="782" spans="1:7" ht="15">
      <c r="A782" s="84" t="s">
        <v>1614</v>
      </c>
      <c r="B782" s="83">
        <v>3</v>
      </c>
      <c r="C782" s="110">
        <v>0.0024894294440907694</v>
      </c>
      <c r="D782" s="83" t="s">
        <v>1378</v>
      </c>
      <c r="E782" s="83" t="b">
        <v>0</v>
      </c>
      <c r="F782" s="83" t="b">
        <v>0</v>
      </c>
      <c r="G782" s="83" t="b">
        <v>0</v>
      </c>
    </row>
    <row r="783" spans="1:7" ht="15">
      <c r="A783" s="84" t="s">
        <v>1563</v>
      </c>
      <c r="B783" s="83">
        <v>3</v>
      </c>
      <c r="C783" s="110">
        <v>0.0027600615020656892</v>
      </c>
      <c r="D783" s="83" t="s">
        <v>1378</v>
      </c>
      <c r="E783" s="83" t="b">
        <v>0</v>
      </c>
      <c r="F783" s="83" t="b">
        <v>0</v>
      </c>
      <c r="G783" s="83" t="b">
        <v>0</v>
      </c>
    </row>
    <row r="784" spans="1:7" ht="15">
      <c r="A784" s="84" t="s">
        <v>1719</v>
      </c>
      <c r="B784" s="83">
        <v>3</v>
      </c>
      <c r="C784" s="110">
        <v>0.003222710060975496</v>
      </c>
      <c r="D784" s="83" t="s">
        <v>1378</v>
      </c>
      <c r="E784" s="83" t="b">
        <v>0</v>
      </c>
      <c r="F784" s="83" t="b">
        <v>0</v>
      </c>
      <c r="G784" s="83" t="b">
        <v>0</v>
      </c>
    </row>
    <row r="785" spans="1:7" ht="15">
      <c r="A785" s="84" t="s">
        <v>1688</v>
      </c>
      <c r="B785" s="83">
        <v>3</v>
      </c>
      <c r="C785" s="110">
        <v>0.0024894294440907694</v>
      </c>
      <c r="D785" s="83" t="s">
        <v>1378</v>
      </c>
      <c r="E785" s="83" t="b">
        <v>0</v>
      </c>
      <c r="F785" s="83" t="b">
        <v>0</v>
      </c>
      <c r="G785" s="83" t="b">
        <v>0</v>
      </c>
    </row>
    <row r="786" spans="1:7" ht="15">
      <c r="A786" s="84" t="s">
        <v>1684</v>
      </c>
      <c r="B786" s="83">
        <v>3</v>
      </c>
      <c r="C786" s="110">
        <v>0.0027600615020656892</v>
      </c>
      <c r="D786" s="83" t="s">
        <v>1378</v>
      </c>
      <c r="E786" s="83" t="b">
        <v>0</v>
      </c>
      <c r="F786" s="83" t="b">
        <v>0</v>
      </c>
      <c r="G786" s="83" t="b">
        <v>0</v>
      </c>
    </row>
    <row r="787" spans="1:7" ht="15">
      <c r="A787" s="84" t="s">
        <v>1612</v>
      </c>
      <c r="B787" s="83">
        <v>3</v>
      </c>
      <c r="C787" s="110">
        <v>0.0027600615020656892</v>
      </c>
      <c r="D787" s="83" t="s">
        <v>1378</v>
      </c>
      <c r="E787" s="83" t="b">
        <v>0</v>
      </c>
      <c r="F787" s="83" t="b">
        <v>0</v>
      </c>
      <c r="G787" s="83" t="b">
        <v>0</v>
      </c>
    </row>
    <row r="788" spans="1:7" ht="15">
      <c r="A788" s="84" t="s">
        <v>1600</v>
      </c>
      <c r="B788" s="83">
        <v>3</v>
      </c>
      <c r="C788" s="110">
        <v>0.0027600615020656892</v>
      </c>
      <c r="D788" s="83" t="s">
        <v>1378</v>
      </c>
      <c r="E788" s="83" t="b">
        <v>0</v>
      </c>
      <c r="F788" s="83" t="b">
        <v>0</v>
      </c>
      <c r="G788" s="83" t="b">
        <v>0</v>
      </c>
    </row>
    <row r="789" spans="1:7" ht="15">
      <c r="A789" s="84" t="s">
        <v>1609</v>
      </c>
      <c r="B789" s="83">
        <v>3</v>
      </c>
      <c r="C789" s="110">
        <v>0.0027600615020656892</v>
      </c>
      <c r="D789" s="83" t="s">
        <v>1378</v>
      </c>
      <c r="E789" s="83" t="b">
        <v>0</v>
      </c>
      <c r="F789" s="83" t="b">
        <v>0</v>
      </c>
      <c r="G789" s="83" t="b">
        <v>0</v>
      </c>
    </row>
    <row r="790" spans="1:7" ht="15">
      <c r="A790" s="84" t="s">
        <v>1692</v>
      </c>
      <c r="B790" s="83">
        <v>3</v>
      </c>
      <c r="C790" s="110">
        <v>0.0024894294440907694</v>
      </c>
      <c r="D790" s="83" t="s">
        <v>1378</v>
      </c>
      <c r="E790" s="83" t="b">
        <v>0</v>
      </c>
      <c r="F790" s="83" t="b">
        <v>0</v>
      </c>
      <c r="G790" s="83" t="b">
        <v>0</v>
      </c>
    </row>
    <row r="791" spans="1:7" ht="15">
      <c r="A791" s="84" t="s">
        <v>1690</v>
      </c>
      <c r="B791" s="83">
        <v>3</v>
      </c>
      <c r="C791" s="110">
        <v>0.0024894294440907694</v>
      </c>
      <c r="D791" s="83" t="s">
        <v>1378</v>
      </c>
      <c r="E791" s="83" t="b">
        <v>0</v>
      </c>
      <c r="F791" s="83" t="b">
        <v>0</v>
      </c>
      <c r="G791" s="83" t="b">
        <v>0</v>
      </c>
    </row>
    <row r="792" spans="1:7" ht="15">
      <c r="A792" s="84" t="s">
        <v>1658</v>
      </c>
      <c r="B792" s="83">
        <v>3</v>
      </c>
      <c r="C792" s="110">
        <v>0.0024894294440907694</v>
      </c>
      <c r="D792" s="83" t="s">
        <v>1378</v>
      </c>
      <c r="E792" s="83" t="b">
        <v>0</v>
      </c>
      <c r="F792" s="83" t="b">
        <v>0</v>
      </c>
      <c r="G792" s="83" t="b">
        <v>0</v>
      </c>
    </row>
    <row r="793" spans="1:7" ht="15">
      <c r="A793" s="84" t="s">
        <v>1678</v>
      </c>
      <c r="B793" s="83">
        <v>3</v>
      </c>
      <c r="C793" s="110">
        <v>0.0027600615020656892</v>
      </c>
      <c r="D793" s="83" t="s">
        <v>1378</v>
      </c>
      <c r="E793" s="83" t="b">
        <v>0</v>
      </c>
      <c r="F793" s="83" t="b">
        <v>1</v>
      </c>
      <c r="G793" s="83" t="b">
        <v>0</v>
      </c>
    </row>
    <row r="794" spans="1:7" ht="15">
      <c r="A794" s="84" t="s">
        <v>1654</v>
      </c>
      <c r="B794" s="83">
        <v>3</v>
      </c>
      <c r="C794" s="110">
        <v>0.0027600615020656892</v>
      </c>
      <c r="D794" s="83" t="s">
        <v>1378</v>
      </c>
      <c r="E794" s="83" t="b">
        <v>0</v>
      </c>
      <c r="F794" s="83" t="b">
        <v>0</v>
      </c>
      <c r="G794" s="83" t="b">
        <v>0</v>
      </c>
    </row>
    <row r="795" spans="1:7" ht="15">
      <c r="A795" s="84" t="s">
        <v>1512</v>
      </c>
      <c r="B795" s="83">
        <v>3</v>
      </c>
      <c r="C795" s="110">
        <v>0.0024894294440907694</v>
      </c>
      <c r="D795" s="83" t="s">
        <v>1378</v>
      </c>
      <c r="E795" s="83" t="b">
        <v>0</v>
      </c>
      <c r="F795" s="83" t="b">
        <v>0</v>
      </c>
      <c r="G795" s="83" t="b">
        <v>0</v>
      </c>
    </row>
    <row r="796" spans="1:7" ht="15">
      <c r="A796" s="84" t="s">
        <v>1651</v>
      </c>
      <c r="B796" s="83">
        <v>3</v>
      </c>
      <c r="C796" s="110">
        <v>0.0024894294440907694</v>
      </c>
      <c r="D796" s="83" t="s">
        <v>1378</v>
      </c>
      <c r="E796" s="83" t="b">
        <v>0</v>
      </c>
      <c r="F796" s="83" t="b">
        <v>0</v>
      </c>
      <c r="G796" s="83" t="b">
        <v>0</v>
      </c>
    </row>
    <row r="797" spans="1:7" ht="15">
      <c r="A797" s="84" t="s">
        <v>1652</v>
      </c>
      <c r="B797" s="83">
        <v>3</v>
      </c>
      <c r="C797" s="110">
        <v>0.0027600615020656892</v>
      </c>
      <c r="D797" s="83" t="s">
        <v>1378</v>
      </c>
      <c r="E797" s="83" t="b">
        <v>0</v>
      </c>
      <c r="F797" s="83" t="b">
        <v>0</v>
      </c>
      <c r="G797" s="83" t="b">
        <v>0</v>
      </c>
    </row>
    <row r="798" spans="1:7" ht="15">
      <c r="A798" s="84" t="s">
        <v>1593</v>
      </c>
      <c r="B798" s="83">
        <v>3</v>
      </c>
      <c r="C798" s="110">
        <v>0.003222710060975496</v>
      </c>
      <c r="D798" s="83" t="s">
        <v>1378</v>
      </c>
      <c r="E798" s="83" t="b">
        <v>0</v>
      </c>
      <c r="F798" s="83" t="b">
        <v>0</v>
      </c>
      <c r="G798" s="83" t="b">
        <v>0</v>
      </c>
    </row>
    <row r="799" spans="1:7" ht="15">
      <c r="A799" s="84" t="s">
        <v>1555</v>
      </c>
      <c r="B799" s="83">
        <v>3</v>
      </c>
      <c r="C799" s="110">
        <v>0.003222710060975496</v>
      </c>
      <c r="D799" s="83" t="s">
        <v>1378</v>
      </c>
      <c r="E799" s="83" t="b">
        <v>0</v>
      </c>
      <c r="F799" s="83" t="b">
        <v>0</v>
      </c>
      <c r="G799" s="83" t="b">
        <v>0</v>
      </c>
    </row>
    <row r="800" spans="1:7" ht="15">
      <c r="A800" s="84" t="s">
        <v>1677</v>
      </c>
      <c r="B800" s="83">
        <v>3</v>
      </c>
      <c r="C800" s="110">
        <v>0.0024894294440907694</v>
      </c>
      <c r="D800" s="83" t="s">
        <v>1378</v>
      </c>
      <c r="E800" s="83" t="b">
        <v>0</v>
      </c>
      <c r="F800" s="83" t="b">
        <v>0</v>
      </c>
      <c r="G800" s="83" t="b">
        <v>0</v>
      </c>
    </row>
    <row r="801" spans="1:7" ht="15">
      <c r="A801" s="84" t="s">
        <v>1559</v>
      </c>
      <c r="B801" s="83">
        <v>3</v>
      </c>
      <c r="C801" s="110">
        <v>0.0027600615020656892</v>
      </c>
      <c r="D801" s="83" t="s">
        <v>1378</v>
      </c>
      <c r="E801" s="83" t="b">
        <v>0</v>
      </c>
      <c r="F801" s="83" t="b">
        <v>0</v>
      </c>
      <c r="G801" s="83" t="b">
        <v>0</v>
      </c>
    </row>
    <row r="802" spans="1:7" ht="15">
      <c r="A802" s="84" t="s">
        <v>1681</v>
      </c>
      <c r="B802" s="83">
        <v>3</v>
      </c>
      <c r="C802" s="110">
        <v>0.0024894294440907694</v>
      </c>
      <c r="D802" s="83" t="s">
        <v>1378</v>
      </c>
      <c r="E802" s="83" t="b">
        <v>0</v>
      </c>
      <c r="F802" s="83" t="b">
        <v>0</v>
      </c>
      <c r="G802" s="83" t="b">
        <v>0</v>
      </c>
    </row>
    <row r="803" spans="1:7" ht="15">
      <c r="A803" s="84" t="s">
        <v>1606</v>
      </c>
      <c r="B803" s="83">
        <v>3</v>
      </c>
      <c r="C803" s="110">
        <v>0.0024894294440907694</v>
      </c>
      <c r="D803" s="83" t="s">
        <v>1378</v>
      </c>
      <c r="E803" s="83" t="b">
        <v>1</v>
      </c>
      <c r="F803" s="83" t="b">
        <v>0</v>
      </c>
      <c r="G803" s="83" t="b">
        <v>0</v>
      </c>
    </row>
    <row r="804" spans="1:7" ht="15">
      <c r="A804" s="84" t="s">
        <v>1686</v>
      </c>
      <c r="B804" s="83">
        <v>3</v>
      </c>
      <c r="C804" s="110">
        <v>0.0024894294440907694</v>
      </c>
      <c r="D804" s="83" t="s">
        <v>1378</v>
      </c>
      <c r="E804" s="83" t="b">
        <v>0</v>
      </c>
      <c r="F804" s="83" t="b">
        <v>0</v>
      </c>
      <c r="G804" s="83" t="b">
        <v>0</v>
      </c>
    </row>
    <row r="805" spans="1:7" ht="15">
      <c r="A805" s="84" t="s">
        <v>1568</v>
      </c>
      <c r="B805" s="83">
        <v>3</v>
      </c>
      <c r="C805" s="110">
        <v>0.0024894294440907694</v>
      </c>
      <c r="D805" s="83" t="s">
        <v>1378</v>
      </c>
      <c r="E805" s="83" t="b">
        <v>0</v>
      </c>
      <c r="F805" s="83" t="b">
        <v>0</v>
      </c>
      <c r="G805" s="83" t="b">
        <v>0</v>
      </c>
    </row>
    <row r="806" spans="1:7" ht="15">
      <c r="A806" s="84" t="s">
        <v>1689</v>
      </c>
      <c r="B806" s="83">
        <v>3</v>
      </c>
      <c r="C806" s="110">
        <v>0.0024894294440907694</v>
      </c>
      <c r="D806" s="83" t="s">
        <v>1378</v>
      </c>
      <c r="E806" s="83" t="b">
        <v>0</v>
      </c>
      <c r="F806" s="83" t="b">
        <v>0</v>
      </c>
      <c r="G806" s="83" t="b">
        <v>0</v>
      </c>
    </row>
    <row r="807" spans="1:7" ht="15">
      <c r="A807" s="84" t="s">
        <v>1691</v>
      </c>
      <c r="B807" s="83">
        <v>3</v>
      </c>
      <c r="C807" s="110">
        <v>0.0027600615020656892</v>
      </c>
      <c r="D807" s="83" t="s">
        <v>1378</v>
      </c>
      <c r="E807" s="83" t="b">
        <v>0</v>
      </c>
      <c r="F807" s="83" t="b">
        <v>0</v>
      </c>
      <c r="G807" s="83" t="b">
        <v>0</v>
      </c>
    </row>
    <row r="808" spans="1:7" ht="15">
      <c r="A808" s="84" t="s">
        <v>1706</v>
      </c>
      <c r="B808" s="83">
        <v>3</v>
      </c>
      <c r="C808" s="110">
        <v>0.0027600615020656892</v>
      </c>
      <c r="D808" s="83" t="s">
        <v>1378</v>
      </c>
      <c r="E808" s="83" t="b">
        <v>0</v>
      </c>
      <c r="F808" s="83" t="b">
        <v>0</v>
      </c>
      <c r="G808" s="83" t="b">
        <v>0</v>
      </c>
    </row>
    <row r="809" spans="1:7" ht="15">
      <c r="A809" s="84" t="s">
        <v>1617</v>
      </c>
      <c r="B809" s="83">
        <v>3</v>
      </c>
      <c r="C809" s="110">
        <v>0.0024894294440907694</v>
      </c>
      <c r="D809" s="83" t="s">
        <v>1378</v>
      </c>
      <c r="E809" s="83" t="b">
        <v>0</v>
      </c>
      <c r="F809" s="83" t="b">
        <v>0</v>
      </c>
      <c r="G809" s="83" t="b">
        <v>0</v>
      </c>
    </row>
    <row r="810" spans="1:7" ht="15">
      <c r="A810" s="84" t="s">
        <v>1714</v>
      </c>
      <c r="B810" s="83">
        <v>3</v>
      </c>
      <c r="C810" s="110">
        <v>0.0024894294440907694</v>
      </c>
      <c r="D810" s="83" t="s">
        <v>1378</v>
      </c>
      <c r="E810" s="83" t="b">
        <v>0</v>
      </c>
      <c r="F810" s="83" t="b">
        <v>0</v>
      </c>
      <c r="G810" s="83" t="b">
        <v>0</v>
      </c>
    </row>
    <row r="811" spans="1:7" ht="15">
      <c r="A811" s="84" t="s">
        <v>1475</v>
      </c>
      <c r="B811" s="83">
        <v>3</v>
      </c>
      <c r="C811" s="110">
        <v>0.0024894294440907694</v>
      </c>
      <c r="D811" s="83" t="s">
        <v>1378</v>
      </c>
      <c r="E811" s="83" t="b">
        <v>0</v>
      </c>
      <c r="F811" s="83" t="b">
        <v>0</v>
      </c>
      <c r="G811" s="83" t="b">
        <v>0</v>
      </c>
    </row>
    <row r="812" spans="1:7" ht="15">
      <c r="A812" s="84" t="s">
        <v>1492</v>
      </c>
      <c r="B812" s="83">
        <v>2</v>
      </c>
      <c r="C812" s="110">
        <v>0.0018400410013771264</v>
      </c>
      <c r="D812" s="83" t="s">
        <v>1378</v>
      </c>
      <c r="E812" s="83" t="b">
        <v>0</v>
      </c>
      <c r="F812" s="83" t="b">
        <v>1</v>
      </c>
      <c r="G812" s="83" t="b">
        <v>0</v>
      </c>
    </row>
    <row r="813" spans="1:7" ht="15">
      <c r="A813" s="84" t="s">
        <v>1708</v>
      </c>
      <c r="B813" s="83">
        <v>2</v>
      </c>
      <c r="C813" s="110">
        <v>0.0018400410013771264</v>
      </c>
      <c r="D813" s="83" t="s">
        <v>1378</v>
      </c>
      <c r="E813" s="83" t="b">
        <v>0</v>
      </c>
      <c r="F813" s="83" t="b">
        <v>0</v>
      </c>
      <c r="G813" s="83" t="b">
        <v>0</v>
      </c>
    </row>
    <row r="814" spans="1:7" ht="15">
      <c r="A814" s="84" t="s">
        <v>1587</v>
      </c>
      <c r="B814" s="83">
        <v>2</v>
      </c>
      <c r="C814" s="110">
        <v>0.0021484733739836645</v>
      </c>
      <c r="D814" s="83" t="s">
        <v>1378</v>
      </c>
      <c r="E814" s="83" t="b">
        <v>0</v>
      </c>
      <c r="F814" s="83" t="b">
        <v>0</v>
      </c>
      <c r="G814" s="83" t="b">
        <v>0</v>
      </c>
    </row>
    <row r="815" spans="1:7" ht="15">
      <c r="A815" s="84" t="s">
        <v>1665</v>
      </c>
      <c r="B815" s="83">
        <v>2</v>
      </c>
      <c r="C815" s="110">
        <v>0.0018400410013771264</v>
      </c>
      <c r="D815" s="83" t="s">
        <v>1378</v>
      </c>
      <c r="E815" s="83" t="b">
        <v>0</v>
      </c>
      <c r="F815" s="83" t="b">
        <v>0</v>
      </c>
      <c r="G815" s="83" t="b">
        <v>0</v>
      </c>
    </row>
    <row r="816" spans="1:7" ht="15">
      <c r="A816" s="84" t="s">
        <v>1906</v>
      </c>
      <c r="B816" s="83">
        <v>2</v>
      </c>
      <c r="C816" s="110">
        <v>0.0018400410013771264</v>
      </c>
      <c r="D816" s="83" t="s">
        <v>1378</v>
      </c>
      <c r="E816" s="83" t="b">
        <v>0</v>
      </c>
      <c r="F816" s="83" t="b">
        <v>0</v>
      </c>
      <c r="G816" s="83" t="b">
        <v>0</v>
      </c>
    </row>
    <row r="817" spans="1:7" ht="15">
      <c r="A817" s="84" t="s">
        <v>2027</v>
      </c>
      <c r="B817" s="83">
        <v>2</v>
      </c>
      <c r="C817" s="110">
        <v>0.0018400410013771264</v>
      </c>
      <c r="D817" s="83" t="s">
        <v>1378</v>
      </c>
      <c r="E817" s="83" t="b">
        <v>0</v>
      </c>
      <c r="F817" s="83" t="b">
        <v>0</v>
      </c>
      <c r="G817" s="83" t="b">
        <v>0</v>
      </c>
    </row>
    <row r="818" spans="1:7" ht="15">
      <c r="A818" s="84" t="s">
        <v>2029</v>
      </c>
      <c r="B818" s="83">
        <v>2</v>
      </c>
      <c r="C818" s="110">
        <v>0.0018400410013771264</v>
      </c>
      <c r="D818" s="83" t="s">
        <v>1378</v>
      </c>
      <c r="E818" s="83" t="b">
        <v>0</v>
      </c>
      <c r="F818" s="83" t="b">
        <v>0</v>
      </c>
      <c r="G818" s="83" t="b">
        <v>0</v>
      </c>
    </row>
    <row r="819" spans="1:7" ht="15">
      <c r="A819" s="84" t="s">
        <v>1710</v>
      </c>
      <c r="B819" s="83">
        <v>2</v>
      </c>
      <c r="C819" s="110">
        <v>0.0018400410013771264</v>
      </c>
      <c r="D819" s="83" t="s">
        <v>1378</v>
      </c>
      <c r="E819" s="83" t="b">
        <v>0</v>
      </c>
      <c r="F819" s="83" t="b">
        <v>0</v>
      </c>
      <c r="G819" s="83" t="b">
        <v>0</v>
      </c>
    </row>
    <row r="820" spans="1:7" ht="15">
      <c r="A820" s="84" t="s">
        <v>2024</v>
      </c>
      <c r="B820" s="83">
        <v>2</v>
      </c>
      <c r="C820" s="110">
        <v>0.0018400410013771264</v>
      </c>
      <c r="D820" s="83" t="s">
        <v>1378</v>
      </c>
      <c r="E820" s="83" t="b">
        <v>0</v>
      </c>
      <c r="F820" s="83" t="b">
        <v>0</v>
      </c>
      <c r="G820" s="83" t="b">
        <v>0</v>
      </c>
    </row>
    <row r="821" spans="1:7" ht="15">
      <c r="A821" s="84" t="s">
        <v>1844</v>
      </c>
      <c r="B821" s="83">
        <v>2</v>
      </c>
      <c r="C821" s="110">
        <v>0.0018400410013771264</v>
      </c>
      <c r="D821" s="83" t="s">
        <v>1378</v>
      </c>
      <c r="E821" s="83" t="b">
        <v>0</v>
      </c>
      <c r="F821" s="83" t="b">
        <v>0</v>
      </c>
      <c r="G821" s="83" t="b">
        <v>0</v>
      </c>
    </row>
    <row r="822" spans="1:7" ht="15">
      <c r="A822" s="84" t="s">
        <v>1839</v>
      </c>
      <c r="B822" s="83">
        <v>2</v>
      </c>
      <c r="C822" s="110">
        <v>0.0018400410013771264</v>
      </c>
      <c r="D822" s="83" t="s">
        <v>1378</v>
      </c>
      <c r="E822" s="83" t="b">
        <v>0</v>
      </c>
      <c r="F822" s="83" t="b">
        <v>0</v>
      </c>
      <c r="G822" s="83" t="b">
        <v>0</v>
      </c>
    </row>
    <row r="823" spans="1:7" ht="15">
      <c r="A823" s="84" t="s">
        <v>1756</v>
      </c>
      <c r="B823" s="83">
        <v>2</v>
      </c>
      <c r="C823" s="110">
        <v>0.0021484733739836645</v>
      </c>
      <c r="D823" s="83" t="s">
        <v>1378</v>
      </c>
      <c r="E823" s="83" t="b">
        <v>0</v>
      </c>
      <c r="F823" s="83" t="b">
        <v>0</v>
      </c>
      <c r="G823" s="83" t="b">
        <v>0</v>
      </c>
    </row>
    <row r="824" spans="1:7" ht="15">
      <c r="A824" s="84" t="s">
        <v>1857</v>
      </c>
      <c r="B824" s="83">
        <v>2</v>
      </c>
      <c r="C824" s="110">
        <v>0.0018400410013771264</v>
      </c>
      <c r="D824" s="83" t="s">
        <v>1378</v>
      </c>
      <c r="E824" s="83" t="b">
        <v>0</v>
      </c>
      <c r="F824" s="83" t="b">
        <v>0</v>
      </c>
      <c r="G824" s="83" t="b">
        <v>0</v>
      </c>
    </row>
    <row r="825" spans="1:7" ht="15">
      <c r="A825" s="84" t="s">
        <v>1685</v>
      </c>
      <c r="B825" s="83">
        <v>2</v>
      </c>
      <c r="C825" s="110">
        <v>0.0018400410013771264</v>
      </c>
      <c r="D825" s="83" t="s">
        <v>1378</v>
      </c>
      <c r="E825" s="83" t="b">
        <v>0</v>
      </c>
      <c r="F825" s="83" t="b">
        <v>0</v>
      </c>
      <c r="G825" s="83" t="b">
        <v>0</v>
      </c>
    </row>
    <row r="826" spans="1:7" ht="15">
      <c r="A826" s="84" t="s">
        <v>1778</v>
      </c>
      <c r="B826" s="83">
        <v>2</v>
      </c>
      <c r="C826" s="110">
        <v>0.0018400410013771264</v>
      </c>
      <c r="D826" s="83" t="s">
        <v>1378</v>
      </c>
      <c r="E826" s="83" t="b">
        <v>0</v>
      </c>
      <c r="F826" s="83" t="b">
        <v>0</v>
      </c>
      <c r="G826" s="83" t="b">
        <v>0</v>
      </c>
    </row>
    <row r="827" spans="1:7" ht="15">
      <c r="A827" s="84" t="s">
        <v>2019</v>
      </c>
      <c r="B827" s="83">
        <v>2</v>
      </c>
      <c r="C827" s="110">
        <v>0.0021484733739836645</v>
      </c>
      <c r="D827" s="83" t="s">
        <v>1378</v>
      </c>
      <c r="E827" s="83" t="b">
        <v>0</v>
      </c>
      <c r="F827" s="83" t="b">
        <v>0</v>
      </c>
      <c r="G827" s="83" t="b">
        <v>0</v>
      </c>
    </row>
    <row r="828" spans="1:7" ht="15">
      <c r="A828" s="84" t="s">
        <v>1809</v>
      </c>
      <c r="B828" s="83">
        <v>2</v>
      </c>
      <c r="C828" s="110">
        <v>0.0018400410013771264</v>
      </c>
      <c r="D828" s="83" t="s">
        <v>1378</v>
      </c>
      <c r="E828" s="83" t="b">
        <v>0</v>
      </c>
      <c r="F828" s="83" t="b">
        <v>0</v>
      </c>
      <c r="G828" s="83" t="b">
        <v>0</v>
      </c>
    </row>
    <row r="829" spans="1:7" ht="15">
      <c r="A829" s="84" t="s">
        <v>1888</v>
      </c>
      <c r="B829" s="83">
        <v>2</v>
      </c>
      <c r="C829" s="110">
        <v>0.0018400410013771264</v>
      </c>
      <c r="D829" s="83" t="s">
        <v>1378</v>
      </c>
      <c r="E829" s="83" t="b">
        <v>0</v>
      </c>
      <c r="F829" s="83" t="b">
        <v>0</v>
      </c>
      <c r="G829" s="83" t="b">
        <v>0</v>
      </c>
    </row>
    <row r="830" spans="1:7" ht="15">
      <c r="A830" s="84" t="s">
        <v>2017</v>
      </c>
      <c r="B830" s="83">
        <v>2</v>
      </c>
      <c r="C830" s="110">
        <v>0.0021484733739836645</v>
      </c>
      <c r="D830" s="83" t="s">
        <v>1378</v>
      </c>
      <c r="E830" s="83" t="b">
        <v>0</v>
      </c>
      <c r="F830" s="83" t="b">
        <v>0</v>
      </c>
      <c r="G830" s="83" t="b">
        <v>0</v>
      </c>
    </row>
    <row r="831" spans="1:7" ht="15">
      <c r="A831" s="84" t="s">
        <v>1885</v>
      </c>
      <c r="B831" s="83">
        <v>2</v>
      </c>
      <c r="C831" s="110">
        <v>0.0018400410013771264</v>
      </c>
      <c r="D831" s="83" t="s">
        <v>1378</v>
      </c>
      <c r="E831" s="83" t="b">
        <v>0</v>
      </c>
      <c r="F831" s="83" t="b">
        <v>0</v>
      </c>
      <c r="G831" s="83" t="b">
        <v>0</v>
      </c>
    </row>
    <row r="832" spans="1:7" ht="15">
      <c r="A832" s="84" t="s">
        <v>1564</v>
      </c>
      <c r="B832" s="83">
        <v>2</v>
      </c>
      <c r="C832" s="110">
        <v>0.0018400410013771264</v>
      </c>
      <c r="D832" s="83" t="s">
        <v>1378</v>
      </c>
      <c r="E832" s="83" t="b">
        <v>0</v>
      </c>
      <c r="F832" s="83" t="b">
        <v>0</v>
      </c>
      <c r="G832" s="83" t="b">
        <v>0</v>
      </c>
    </row>
    <row r="833" spans="1:7" ht="15">
      <c r="A833" s="84" t="s">
        <v>1704</v>
      </c>
      <c r="B833" s="83">
        <v>2</v>
      </c>
      <c r="C833" s="110">
        <v>0.0018400410013771264</v>
      </c>
      <c r="D833" s="83" t="s">
        <v>1378</v>
      </c>
      <c r="E833" s="83" t="b">
        <v>0</v>
      </c>
      <c r="F833" s="83" t="b">
        <v>0</v>
      </c>
      <c r="G833" s="83" t="b">
        <v>0</v>
      </c>
    </row>
    <row r="834" spans="1:7" ht="15">
      <c r="A834" s="84" t="s">
        <v>1972</v>
      </c>
      <c r="B834" s="83">
        <v>2</v>
      </c>
      <c r="C834" s="110">
        <v>0.0021484733739836645</v>
      </c>
      <c r="D834" s="83" t="s">
        <v>1378</v>
      </c>
      <c r="E834" s="83" t="b">
        <v>0</v>
      </c>
      <c r="F834" s="83" t="b">
        <v>0</v>
      </c>
      <c r="G834" s="83" t="b">
        <v>0</v>
      </c>
    </row>
    <row r="835" spans="1:7" ht="15">
      <c r="A835" s="84" t="s">
        <v>1973</v>
      </c>
      <c r="B835" s="83">
        <v>2</v>
      </c>
      <c r="C835" s="110">
        <v>0.0021484733739836645</v>
      </c>
      <c r="D835" s="83" t="s">
        <v>1378</v>
      </c>
      <c r="E835" s="83" t="b">
        <v>0</v>
      </c>
      <c r="F835" s="83" t="b">
        <v>0</v>
      </c>
      <c r="G835" s="83" t="b">
        <v>0</v>
      </c>
    </row>
    <row r="836" spans="1:7" ht="15">
      <c r="A836" s="84" t="s">
        <v>1974</v>
      </c>
      <c r="B836" s="83">
        <v>2</v>
      </c>
      <c r="C836" s="110">
        <v>0.0021484733739836645</v>
      </c>
      <c r="D836" s="83" t="s">
        <v>1378</v>
      </c>
      <c r="E836" s="83" t="b">
        <v>0</v>
      </c>
      <c r="F836" s="83" t="b">
        <v>0</v>
      </c>
      <c r="G836" s="83" t="b">
        <v>0</v>
      </c>
    </row>
    <row r="837" spans="1:7" ht="15">
      <c r="A837" s="84" t="s">
        <v>1636</v>
      </c>
      <c r="B837" s="83">
        <v>2</v>
      </c>
      <c r="C837" s="110">
        <v>0.0021484733739836645</v>
      </c>
      <c r="D837" s="83" t="s">
        <v>1378</v>
      </c>
      <c r="E837" s="83" t="b">
        <v>0</v>
      </c>
      <c r="F837" s="83" t="b">
        <v>0</v>
      </c>
      <c r="G837" s="83" t="b">
        <v>0</v>
      </c>
    </row>
    <row r="838" spans="1:7" ht="15">
      <c r="A838" s="84" t="s">
        <v>1971</v>
      </c>
      <c r="B838" s="83">
        <v>2</v>
      </c>
      <c r="C838" s="110">
        <v>0.0018400410013771264</v>
      </c>
      <c r="D838" s="83" t="s">
        <v>1378</v>
      </c>
      <c r="E838" s="83" t="b">
        <v>0</v>
      </c>
      <c r="F838" s="83" t="b">
        <v>0</v>
      </c>
      <c r="G838" s="83" t="b">
        <v>0</v>
      </c>
    </row>
    <row r="839" spans="1:7" ht="15">
      <c r="A839" s="84" t="s">
        <v>1908</v>
      </c>
      <c r="B839" s="83">
        <v>2</v>
      </c>
      <c r="C839" s="110">
        <v>0.0018400410013771264</v>
      </c>
      <c r="D839" s="83" t="s">
        <v>1378</v>
      </c>
      <c r="E839" s="83" t="b">
        <v>0</v>
      </c>
      <c r="F839" s="83" t="b">
        <v>0</v>
      </c>
      <c r="G839" s="83" t="b">
        <v>0</v>
      </c>
    </row>
    <row r="840" spans="1:7" ht="15">
      <c r="A840" s="84" t="s">
        <v>1680</v>
      </c>
      <c r="B840" s="83">
        <v>2</v>
      </c>
      <c r="C840" s="110">
        <v>0.0018400410013771264</v>
      </c>
      <c r="D840" s="83" t="s">
        <v>1378</v>
      </c>
      <c r="E840" s="83" t="b">
        <v>0</v>
      </c>
      <c r="F840" s="83" t="b">
        <v>0</v>
      </c>
      <c r="G840" s="83" t="b">
        <v>0</v>
      </c>
    </row>
    <row r="841" spans="1:7" ht="15">
      <c r="A841" s="84" t="s">
        <v>1672</v>
      </c>
      <c r="B841" s="83">
        <v>2</v>
      </c>
      <c r="C841" s="110">
        <v>0.0018400410013771264</v>
      </c>
      <c r="D841" s="83" t="s">
        <v>1378</v>
      </c>
      <c r="E841" s="83" t="b">
        <v>1</v>
      </c>
      <c r="F841" s="83" t="b">
        <v>0</v>
      </c>
      <c r="G841" s="83" t="b">
        <v>0</v>
      </c>
    </row>
    <row r="842" spans="1:7" ht="15">
      <c r="A842" s="84" t="s">
        <v>1639</v>
      </c>
      <c r="B842" s="83">
        <v>2</v>
      </c>
      <c r="C842" s="110">
        <v>0.0021484733739836645</v>
      </c>
      <c r="D842" s="83" t="s">
        <v>1378</v>
      </c>
      <c r="E842" s="83" t="b">
        <v>0</v>
      </c>
      <c r="F842" s="83" t="b">
        <v>0</v>
      </c>
      <c r="G842" s="83" t="b">
        <v>0</v>
      </c>
    </row>
    <row r="843" spans="1:7" ht="15">
      <c r="A843" s="84" t="s">
        <v>1969</v>
      </c>
      <c r="B843" s="83">
        <v>2</v>
      </c>
      <c r="C843" s="110">
        <v>0.0021484733739836645</v>
      </c>
      <c r="D843" s="83" t="s">
        <v>1378</v>
      </c>
      <c r="E843" s="83" t="b">
        <v>0</v>
      </c>
      <c r="F843" s="83" t="b">
        <v>0</v>
      </c>
      <c r="G843" s="83" t="b">
        <v>0</v>
      </c>
    </row>
    <row r="844" spans="1:7" ht="15">
      <c r="A844" s="84" t="s">
        <v>1541</v>
      </c>
      <c r="B844" s="83">
        <v>2</v>
      </c>
      <c r="C844" s="110">
        <v>0.0018400410013771264</v>
      </c>
      <c r="D844" s="83" t="s">
        <v>1378</v>
      </c>
      <c r="E844" s="83" t="b">
        <v>0</v>
      </c>
      <c r="F844" s="83" t="b">
        <v>0</v>
      </c>
      <c r="G844" s="83" t="b">
        <v>0</v>
      </c>
    </row>
    <row r="845" spans="1:7" ht="15">
      <c r="A845" s="84" t="s">
        <v>1786</v>
      </c>
      <c r="B845" s="83">
        <v>2</v>
      </c>
      <c r="C845" s="110">
        <v>0.0018400410013771264</v>
      </c>
      <c r="D845" s="83" t="s">
        <v>1378</v>
      </c>
      <c r="E845" s="83" t="b">
        <v>0</v>
      </c>
      <c r="F845" s="83" t="b">
        <v>0</v>
      </c>
      <c r="G845" s="83" t="b">
        <v>0</v>
      </c>
    </row>
    <row r="846" spans="1:7" ht="15">
      <c r="A846" s="84" t="s">
        <v>1970</v>
      </c>
      <c r="B846" s="83">
        <v>2</v>
      </c>
      <c r="C846" s="110">
        <v>0.0021484733739836645</v>
      </c>
      <c r="D846" s="83" t="s">
        <v>1378</v>
      </c>
      <c r="E846" s="83" t="b">
        <v>1</v>
      </c>
      <c r="F846" s="83" t="b">
        <v>0</v>
      </c>
      <c r="G846" s="83" t="b">
        <v>0</v>
      </c>
    </row>
    <row r="847" spans="1:7" ht="15">
      <c r="A847" s="84" t="s">
        <v>1676</v>
      </c>
      <c r="B847" s="83">
        <v>2</v>
      </c>
      <c r="C847" s="110">
        <v>0.0018400410013771264</v>
      </c>
      <c r="D847" s="83" t="s">
        <v>1378</v>
      </c>
      <c r="E847" s="83" t="b">
        <v>1</v>
      </c>
      <c r="F847" s="83" t="b">
        <v>0</v>
      </c>
      <c r="G847" s="83" t="b">
        <v>0</v>
      </c>
    </row>
    <row r="848" spans="1:7" ht="15">
      <c r="A848" s="84" t="s">
        <v>1729</v>
      </c>
      <c r="B848" s="83">
        <v>2</v>
      </c>
      <c r="C848" s="110">
        <v>0.0018400410013771264</v>
      </c>
      <c r="D848" s="83" t="s">
        <v>1378</v>
      </c>
      <c r="E848" s="83" t="b">
        <v>0</v>
      </c>
      <c r="F848" s="83" t="b">
        <v>0</v>
      </c>
      <c r="G848" s="83" t="b">
        <v>0</v>
      </c>
    </row>
    <row r="849" spans="1:7" ht="15">
      <c r="A849" s="84" t="s">
        <v>1553</v>
      </c>
      <c r="B849" s="83">
        <v>2</v>
      </c>
      <c r="C849" s="110">
        <v>0.0021484733739836645</v>
      </c>
      <c r="D849" s="83" t="s">
        <v>1378</v>
      </c>
      <c r="E849" s="83" t="b">
        <v>0</v>
      </c>
      <c r="F849" s="83" t="b">
        <v>0</v>
      </c>
      <c r="G849" s="83" t="b">
        <v>0</v>
      </c>
    </row>
    <row r="850" spans="1:7" ht="15">
      <c r="A850" s="84" t="s">
        <v>1594</v>
      </c>
      <c r="B850" s="83">
        <v>2</v>
      </c>
      <c r="C850" s="110">
        <v>0.0018400410013771264</v>
      </c>
      <c r="D850" s="83" t="s">
        <v>1378</v>
      </c>
      <c r="E850" s="83" t="b">
        <v>1</v>
      </c>
      <c r="F850" s="83" t="b">
        <v>0</v>
      </c>
      <c r="G850" s="83" t="b">
        <v>0</v>
      </c>
    </row>
    <row r="851" spans="1:7" ht="15">
      <c r="A851" s="84" t="s">
        <v>1915</v>
      </c>
      <c r="B851" s="83">
        <v>2</v>
      </c>
      <c r="C851" s="110">
        <v>0.0018400410013771264</v>
      </c>
      <c r="D851" s="83" t="s">
        <v>1378</v>
      </c>
      <c r="E851" s="83" t="b">
        <v>0</v>
      </c>
      <c r="F851" s="83" t="b">
        <v>0</v>
      </c>
      <c r="G851" s="83" t="b">
        <v>0</v>
      </c>
    </row>
    <row r="852" spans="1:7" ht="15">
      <c r="A852" s="84" t="s">
        <v>1916</v>
      </c>
      <c r="B852" s="83">
        <v>2</v>
      </c>
      <c r="C852" s="110">
        <v>0.0018400410013771264</v>
      </c>
      <c r="D852" s="83" t="s">
        <v>1378</v>
      </c>
      <c r="E852" s="83" t="b">
        <v>0</v>
      </c>
      <c r="F852" s="83" t="b">
        <v>0</v>
      </c>
      <c r="G852" s="83" t="b">
        <v>0</v>
      </c>
    </row>
    <row r="853" spans="1:7" ht="15">
      <c r="A853" s="84" t="s">
        <v>1917</v>
      </c>
      <c r="B853" s="83">
        <v>2</v>
      </c>
      <c r="C853" s="110">
        <v>0.0018400410013771264</v>
      </c>
      <c r="D853" s="83" t="s">
        <v>1378</v>
      </c>
      <c r="E853" s="83" t="b">
        <v>0</v>
      </c>
      <c r="F853" s="83" t="b">
        <v>0</v>
      </c>
      <c r="G853" s="83" t="b">
        <v>0</v>
      </c>
    </row>
    <row r="854" spans="1:7" ht="15">
      <c r="A854" s="84" t="s">
        <v>1622</v>
      </c>
      <c r="B854" s="83">
        <v>2</v>
      </c>
      <c r="C854" s="110">
        <v>0.0018400410013771264</v>
      </c>
      <c r="D854" s="83" t="s">
        <v>1378</v>
      </c>
      <c r="E854" s="83" t="b">
        <v>0</v>
      </c>
      <c r="F854" s="83" t="b">
        <v>0</v>
      </c>
      <c r="G854" s="83" t="b">
        <v>0</v>
      </c>
    </row>
    <row r="855" spans="1:7" ht="15">
      <c r="A855" s="84" t="s">
        <v>1837</v>
      </c>
      <c r="B855" s="83">
        <v>2</v>
      </c>
      <c r="C855" s="110">
        <v>0.0018400410013771264</v>
      </c>
      <c r="D855" s="83" t="s">
        <v>1378</v>
      </c>
      <c r="E855" s="83" t="b">
        <v>0</v>
      </c>
      <c r="F855" s="83" t="b">
        <v>0</v>
      </c>
      <c r="G855" s="83" t="b">
        <v>0</v>
      </c>
    </row>
    <row r="856" spans="1:7" ht="15">
      <c r="A856" s="84" t="s">
        <v>1629</v>
      </c>
      <c r="B856" s="83">
        <v>2</v>
      </c>
      <c r="C856" s="110">
        <v>0.0021484733739836645</v>
      </c>
      <c r="D856" s="83" t="s">
        <v>1378</v>
      </c>
      <c r="E856" s="83" t="b">
        <v>0</v>
      </c>
      <c r="F856" s="83" t="b">
        <v>0</v>
      </c>
      <c r="G856" s="83" t="b">
        <v>0</v>
      </c>
    </row>
    <row r="857" spans="1:7" ht="15">
      <c r="A857" s="84" t="s">
        <v>1911</v>
      </c>
      <c r="B857" s="83">
        <v>2</v>
      </c>
      <c r="C857" s="110">
        <v>0.0021484733739836645</v>
      </c>
      <c r="D857" s="83" t="s">
        <v>1378</v>
      </c>
      <c r="E857" s="83" t="b">
        <v>0</v>
      </c>
      <c r="F857" s="83" t="b">
        <v>0</v>
      </c>
      <c r="G857" s="83" t="b">
        <v>0</v>
      </c>
    </row>
    <row r="858" spans="1:7" ht="15">
      <c r="A858" s="84" t="s">
        <v>1912</v>
      </c>
      <c r="B858" s="83">
        <v>2</v>
      </c>
      <c r="C858" s="110">
        <v>0.0021484733739836645</v>
      </c>
      <c r="D858" s="83" t="s">
        <v>1378</v>
      </c>
      <c r="E858" s="83" t="b">
        <v>0</v>
      </c>
      <c r="F858" s="83" t="b">
        <v>0</v>
      </c>
      <c r="G858" s="83" t="b">
        <v>0</v>
      </c>
    </row>
    <row r="859" spans="1:7" ht="15">
      <c r="A859" s="84" t="s">
        <v>1891</v>
      </c>
      <c r="B859" s="83">
        <v>2</v>
      </c>
      <c r="C859" s="110">
        <v>0.0021484733739836645</v>
      </c>
      <c r="D859" s="83" t="s">
        <v>1378</v>
      </c>
      <c r="E859" s="83" t="b">
        <v>0</v>
      </c>
      <c r="F859" s="83" t="b">
        <v>0</v>
      </c>
      <c r="G859" s="83" t="b">
        <v>0</v>
      </c>
    </row>
    <row r="860" spans="1:7" ht="15">
      <c r="A860" s="84" t="s">
        <v>1835</v>
      </c>
      <c r="B860" s="83">
        <v>2</v>
      </c>
      <c r="C860" s="110">
        <v>0.0018400410013771264</v>
      </c>
      <c r="D860" s="83" t="s">
        <v>1378</v>
      </c>
      <c r="E860" s="83" t="b">
        <v>0</v>
      </c>
      <c r="F860" s="83" t="b">
        <v>0</v>
      </c>
      <c r="G860" s="83" t="b">
        <v>0</v>
      </c>
    </row>
    <row r="861" spans="1:7" ht="15">
      <c r="A861" s="84" t="s">
        <v>1520</v>
      </c>
      <c r="B861" s="83">
        <v>2</v>
      </c>
      <c r="C861" s="110">
        <v>0.0018400410013771264</v>
      </c>
      <c r="D861" s="83" t="s">
        <v>1378</v>
      </c>
      <c r="E861" s="83" t="b">
        <v>0</v>
      </c>
      <c r="F861" s="83" t="b">
        <v>1</v>
      </c>
      <c r="G861" s="83" t="b">
        <v>0</v>
      </c>
    </row>
    <row r="862" spans="1:7" ht="15">
      <c r="A862" s="84" t="s">
        <v>1657</v>
      </c>
      <c r="B862" s="83">
        <v>2</v>
      </c>
      <c r="C862" s="110">
        <v>0.0018400410013771264</v>
      </c>
      <c r="D862" s="83" t="s">
        <v>1378</v>
      </c>
      <c r="E862" s="83" t="b">
        <v>0</v>
      </c>
      <c r="F862" s="83" t="b">
        <v>0</v>
      </c>
      <c r="G862" s="83" t="b">
        <v>0</v>
      </c>
    </row>
    <row r="863" spans="1:7" ht="15">
      <c r="A863" s="84" t="s">
        <v>1879</v>
      </c>
      <c r="B863" s="83">
        <v>2</v>
      </c>
      <c r="C863" s="110">
        <v>0.0018400410013771264</v>
      </c>
      <c r="D863" s="83" t="s">
        <v>1378</v>
      </c>
      <c r="E863" s="83" t="b">
        <v>0</v>
      </c>
      <c r="F863" s="83" t="b">
        <v>0</v>
      </c>
      <c r="G863" s="83" t="b">
        <v>0</v>
      </c>
    </row>
    <row r="864" spans="1:7" ht="15">
      <c r="A864" s="84" t="s">
        <v>1887</v>
      </c>
      <c r="B864" s="83">
        <v>2</v>
      </c>
      <c r="C864" s="110">
        <v>0.0018400410013771264</v>
      </c>
      <c r="D864" s="83" t="s">
        <v>1378</v>
      </c>
      <c r="E864" s="83" t="b">
        <v>0</v>
      </c>
      <c r="F864" s="83" t="b">
        <v>0</v>
      </c>
      <c r="G864" s="83" t="b">
        <v>0</v>
      </c>
    </row>
    <row r="865" spans="1:7" ht="15">
      <c r="A865" s="84" t="s">
        <v>1829</v>
      </c>
      <c r="B865" s="83">
        <v>2</v>
      </c>
      <c r="C865" s="110">
        <v>0.0018400410013771264</v>
      </c>
      <c r="D865" s="83" t="s">
        <v>1378</v>
      </c>
      <c r="E865" s="83" t="b">
        <v>0</v>
      </c>
      <c r="F865" s="83" t="b">
        <v>0</v>
      </c>
      <c r="G865" s="83" t="b">
        <v>0</v>
      </c>
    </row>
    <row r="866" spans="1:7" ht="15">
      <c r="A866" s="84" t="s">
        <v>1595</v>
      </c>
      <c r="B866" s="83">
        <v>2</v>
      </c>
      <c r="C866" s="110">
        <v>0.0018400410013771264</v>
      </c>
      <c r="D866" s="83" t="s">
        <v>1378</v>
      </c>
      <c r="E866" s="83" t="b">
        <v>0</v>
      </c>
      <c r="F866" s="83" t="b">
        <v>0</v>
      </c>
      <c r="G866" s="83" t="b">
        <v>0</v>
      </c>
    </row>
    <row r="867" spans="1:7" ht="15">
      <c r="A867" s="84" t="s">
        <v>1875</v>
      </c>
      <c r="B867" s="83">
        <v>2</v>
      </c>
      <c r="C867" s="110">
        <v>0.0018400410013771264</v>
      </c>
      <c r="D867" s="83" t="s">
        <v>1378</v>
      </c>
      <c r="E867" s="83" t="b">
        <v>0</v>
      </c>
      <c r="F867" s="83" t="b">
        <v>0</v>
      </c>
      <c r="G867" s="83" t="b">
        <v>0</v>
      </c>
    </row>
    <row r="868" spans="1:7" ht="15">
      <c r="A868" s="84" t="s">
        <v>1825</v>
      </c>
      <c r="B868" s="83">
        <v>2</v>
      </c>
      <c r="C868" s="110">
        <v>0.0018400410013771264</v>
      </c>
      <c r="D868" s="83" t="s">
        <v>1378</v>
      </c>
      <c r="E868" s="83" t="b">
        <v>0</v>
      </c>
      <c r="F868" s="83" t="b">
        <v>0</v>
      </c>
      <c r="G868" s="83" t="b">
        <v>0</v>
      </c>
    </row>
    <row r="869" spans="1:7" ht="15">
      <c r="A869" s="84" t="s">
        <v>1876</v>
      </c>
      <c r="B869" s="83">
        <v>2</v>
      </c>
      <c r="C869" s="110">
        <v>0.0018400410013771264</v>
      </c>
      <c r="D869" s="83" t="s">
        <v>1378</v>
      </c>
      <c r="E869" s="83" t="b">
        <v>0</v>
      </c>
      <c r="F869" s="83" t="b">
        <v>0</v>
      </c>
      <c r="G869" s="83" t="b">
        <v>0</v>
      </c>
    </row>
    <row r="870" spans="1:7" ht="15">
      <c r="A870" s="84" t="s">
        <v>1877</v>
      </c>
      <c r="B870" s="83">
        <v>2</v>
      </c>
      <c r="C870" s="110">
        <v>0.0018400410013771264</v>
      </c>
      <c r="D870" s="83" t="s">
        <v>1378</v>
      </c>
      <c r="E870" s="83" t="b">
        <v>0</v>
      </c>
      <c r="F870" s="83" t="b">
        <v>0</v>
      </c>
      <c r="G870" s="83" t="b">
        <v>0</v>
      </c>
    </row>
    <row r="871" spans="1:7" ht="15">
      <c r="A871" s="84" t="s">
        <v>1859</v>
      </c>
      <c r="B871" s="83">
        <v>2</v>
      </c>
      <c r="C871" s="110">
        <v>0.0018400410013771264</v>
      </c>
      <c r="D871" s="83" t="s">
        <v>1378</v>
      </c>
      <c r="E871" s="83" t="b">
        <v>0</v>
      </c>
      <c r="F871" s="83" t="b">
        <v>0</v>
      </c>
      <c r="G871" s="83" t="b">
        <v>0</v>
      </c>
    </row>
    <row r="872" spans="1:7" ht="15">
      <c r="A872" s="84" t="s">
        <v>1860</v>
      </c>
      <c r="B872" s="83">
        <v>2</v>
      </c>
      <c r="C872" s="110">
        <v>0.0018400410013771264</v>
      </c>
      <c r="D872" s="83" t="s">
        <v>1378</v>
      </c>
      <c r="E872" s="83" t="b">
        <v>0</v>
      </c>
      <c r="F872" s="83" t="b">
        <v>0</v>
      </c>
      <c r="G872" s="83" t="b">
        <v>0</v>
      </c>
    </row>
    <row r="873" spans="1:7" ht="15">
      <c r="A873" s="84" t="s">
        <v>1790</v>
      </c>
      <c r="B873" s="83">
        <v>2</v>
      </c>
      <c r="C873" s="110">
        <v>0.0018400410013771264</v>
      </c>
      <c r="D873" s="83" t="s">
        <v>1378</v>
      </c>
      <c r="E873" s="83" t="b">
        <v>0</v>
      </c>
      <c r="F873" s="83" t="b">
        <v>0</v>
      </c>
      <c r="G873" s="83" t="b">
        <v>0</v>
      </c>
    </row>
    <row r="874" spans="1:7" ht="15">
      <c r="A874" s="84" t="s">
        <v>1569</v>
      </c>
      <c r="B874" s="83">
        <v>2</v>
      </c>
      <c r="C874" s="110">
        <v>0.0018400410013771264</v>
      </c>
      <c r="D874" s="83" t="s">
        <v>1378</v>
      </c>
      <c r="E874" s="83" t="b">
        <v>0</v>
      </c>
      <c r="F874" s="83" t="b">
        <v>0</v>
      </c>
      <c r="G874" s="83" t="b">
        <v>0</v>
      </c>
    </row>
    <row r="875" spans="1:7" ht="15">
      <c r="A875" s="84" t="s">
        <v>1845</v>
      </c>
      <c r="B875" s="83">
        <v>2</v>
      </c>
      <c r="C875" s="110">
        <v>0.0018400410013771264</v>
      </c>
      <c r="D875" s="83" t="s">
        <v>1378</v>
      </c>
      <c r="E875" s="83" t="b">
        <v>0</v>
      </c>
      <c r="F875" s="83" t="b">
        <v>0</v>
      </c>
      <c r="G875" s="83" t="b">
        <v>0</v>
      </c>
    </row>
    <row r="876" spans="1:7" ht="15">
      <c r="A876" s="84" t="s">
        <v>1856</v>
      </c>
      <c r="B876" s="83">
        <v>2</v>
      </c>
      <c r="C876" s="110">
        <v>0.0018400410013771264</v>
      </c>
      <c r="D876" s="83" t="s">
        <v>1378</v>
      </c>
      <c r="E876" s="83" t="b">
        <v>0</v>
      </c>
      <c r="F876" s="83" t="b">
        <v>0</v>
      </c>
      <c r="G876" s="83" t="b">
        <v>0</v>
      </c>
    </row>
    <row r="877" spans="1:7" ht="15">
      <c r="A877" s="84" t="s">
        <v>1851</v>
      </c>
      <c r="B877" s="83">
        <v>2</v>
      </c>
      <c r="C877" s="110">
        <v>0.0018400410013771264</v>
      </c>
      <c r="D877" s="83" t="s">
        <v>1378</v>
      </c>
      <c r="E877" s="83" t="b">
        <v>0</v>
      </c>
      <c r="F877" s="83" t="b">
        <v>0</v>
      </c>
      <c r="G877" s="83" t="b">
        <v>0</v>
      </c>
    </row>
    <row r="878" spans="1:7" ht="15">
      <c r="A878" s="84" t="s">
        <v>1846</v>
      </c>
      <c r="B878" s="83">
        <v>2</v>
      </c>
      <c r="C878" s="110">
        <v>0.0018400410013771264</v>
      </c>
      <c r="D878" s="83" t="s">
        <v>1378</v>
      </c>
      <c r="E878" s="83" t="b">
        <v>0</v>
      </c>
      <c r="F878" s="83" t="b">
        <v>0</v>
      </c>
      <c r="G878" s="83" t="b">
        <v>0</v>
      </c>
    </row>
    <row r="879" spans="1:7" ht="15">
      <c r="A879" s="84" t="s">
        <v>1853</v>
      </c>
      <c r="B879" s="83">
        <v>2</v>
      </c>
      <c r="C879" s="110">
        <v>0.0018400410013771264</v>
      </c>
      <c r="D879" s="83" t="s">
        <v>1378</v>
      </c>
      <c r="E879" s="83" t="b">
        <v>0</v>
      </c>
      <c r="F879" s="83" t="b">
        <v>0</v>
      </c>
      <c r="G879" s="83" t="b">
        <v>0</v>
      </c>
    </row>
    <row r="880" spans="1:7" ht="15">
      <c r="A880" s="84" t="s">
        <v>1854</v>
      </c>
      <c r="B880" s="83">
        <v>2</v>
      </c>
      <c r="C880" s="110">
        <v>0.0018400410013771264</v>
      </c>
      <c r="D880" s="83" t="s">
        <v>1378</v>
      </c>
      <c r="E880" s="83" t="b">
        <v>0</v>
      </c>
      <c r="F880" s="83" t="b">
        <v>0</v>
      </c>
      <c r="G880" s="83" t="b">
        <v>0</v>
      </c>
    </row>
    <row r="881" spans="1:7" ht="15">
      <c r="A881" s="84" t="s">
        <v>1666</v>
      </c>
      <c r="B881" s="83">
        <v>2</v>
      </c>
      <c r="C881" s="110">
        <v>0.0018400410013771264</v>
      </c>
      <c r="D881" s="83" t="s">
        <v>1378</v>
      </c>
      <c r="E881" s="83" t="b">
        <v>0</v>
      </c>
      <c r="F881" s="83" t="b">
        <v>0</v>
      </c>
      <c r="G881" s="83" t="b">
        <v>0</v>
      </c>
    </row>
    <row r="882" spans="1:7" ht="15">
      <c r="A882" s="84" t="s">
        <v>1843</v>
      </c>
      <c r="B882" s="83">
        <v>2</v>
      </c>
      <c r="C882" s="110">
        <v>0.0021484733739836645</v>
      </c>
      <c r="D882" s="83" t="s">
        <v>1378</v>
      </c>
      <c r="E882" s="83" t="b">
        <v>0</v>
      </c>
      <c r="F882" s="83" t="b">
        <v>0</v>
      </c>
      <c r="G882" s="83" t="b">
        <v>0</v>
      </c>
    </row>
    <row r="883" spans="1:7" ht="15">
      <c r="A883" s="84" t="s">
        <v>1830</v>
      </c>
      <c r="B883" s="83">
        <v>2</v>
      </c>
      <c r="C883" s="110">
        <v>0.0018400410013771264</v>
      </c>
      <c r="D883" s="83" t="s">
        <v>1378</v>
      </c>
      <c r="E883" s="83" t="b">
        <v>0</v>
      </c>
      <c r="F883" s="83" t="b">
        <v>0</v>
      </c>
      <c r="G883" s="83" t="b">
        <v>0</v>
      </c>
    </row>
    <row r="884" spans="1:7" ht="15">
      <c r="A884" s="84" t="s">
        <v>1514</v>
      </c>
      <c r="B884" s="83">
        <v>2</v>
      </c>
      <c r="C884" s="110">
        <v>0.0018400410013771264</v>
      </c>
      <c r="D884" s="83" t="s">
        <v>1378</v>
      </c>
      <c r="E884" s="83" t="b">
        <v>0</v>
      </c>
      <c r="F884" s="83" t="b">
        <v>0</v>
      </c>
      <c r="G884" s="83" t="b">
        <v>0</v>
      </c>
    </row>
    <row r="885" spans="1:7" ht="15">
      <c r="A885" s="84" t="s">
        <v>1847</v>
      </c>
      <c r="B885" s="83">
        <v>2</v>
      </c>
      <c r="C885" s="110">
        <v>0.0021484733739836645</v>
      </c>
      <c r="D885" s="83" t="s">
        <v>1378</v>
      </c>
      <c r="E885" s="83" t="b">
        <v>0</v>
      </c>
      <c r="F885" s="83" t="b">
        <v>0</v>
      </c>
      <c r="G885" s="83" t="b">
        <v>0</v>
      </c>
    </row>
    <row r="886" spans="1:7" ht="15">
      <c r="A886" s="84" t="s">
        <v>1848</v>
      </c>
      <c r="B886" s="83">
        <v>2</v>
      </c>
      <c r="C886" s="110">
        <v>0.0018400410013771264</v>
      </c>
      <c r="D886" s="83" t="s">
        <v>1378</v>
      </c>
      <c r="E886" s="83" t="b">
        <v>0</v>
      </c>
      <c r="F886" s="83" t="b">
        <v>0</v>
      </c>
      <c r="G886" s="83" t="b">
        <v>0</v>
      </c>
    </row>
    <row r="887" spans="1:7" ht="15">
      <c r="A887" s="84" t="s">
        <v>1491</v>
      </c>
      <c r="B887" s="83">
        <v>2</v>
      </c>
      <c r="C887" s="110">
        <v>0.0018400410013771264</v>
      </c>
      <c r="D887" s="83" t="s">
        <v>1378</v>
      </c>
      <c r="E887" s="83" t="b">
        <v>0</v>
      </c>
      <c r="F887" s="83" t="b">
        <v>0</v>
      </c>
      <c r="G887" s="83" t="b">
        <v>0</v>
      </c>
    </row>
    <row r="888" spans="1:7" ht="15">
      <c r="A888" s="84" t="s">
        <v>1821</v>
      </c>
      <c r="B888" s="83">
        <v>2</v>
      </c>
      <c r="C888" s="110">
        <v>0.0018400410013771264</v>
      </c>
      <c r="D888" s="83" t="s">
        <v>1378</v>
      </c>
      <c r="E888" s="83" t="b">
        <v>0</v>
      </c>
      <c r="F888" s="83" t="b">
        <v>0</v>
      </c>
      <c r="G888" s="83" t="b">
        <v>0</v>
      </c>
    </row>
    <row r="889" spans="1:7" ht="15">
      <c r="A889" s="84" t="s">
        <v>1822</v>
      </c>
      <c r="B889" s="83">
        <v>2</v>
      </c>
      <c r="C889" s="110">
        <v>0.0018400410013771264</v>
      </c>
      <c r="D889" s="83" t="s">
        <v>1378</v>
      </c>
      <c r="E889" s="83" t="b">
        <v>0</v>
      </c>
      <c r="F889" s="83" t="b">
        <v>0</v>
      </c>
      <c r="G889" s="83" t="b">
        <v>0</v>
      </c>
    </row>
    <row r="890" spans="1:7" ht="15">
      <c r="A890" s="84" t="s">
        <v>1832</v>
      </c>
      <c r="B890" s="83">
        <v>2</v>
      </c>
      <c r="C890" s="110">
        <v>0.0021484733739836645</v>
      </c>
      <c r="D890" s="83" t="s">
        <v>1378</v>
      </c>
      <c r="E890" s="83" t="b">
        <v>0</v>
      </c>
      <c r="F890" s="83" t="b">
        <v>0</v>
      </c>
      <c r="G890" s="83" t="b">
        <v>0</v>
      </c>
    </row>
    <row r="891" spans="1:7" ht="15">
      <c r="A891" s="84" t="s">
        <v>1827</v>
      </c>
      <c r="B891" s="83">
        <v>2</v>
      </c>
      <c r="C891" s="110">
        <v>0.0018400410013771264</v>
      </c>
      <c r="D891" s="83" t="s">
        <v>1378</v>
      </c>
      <c r="E891" s="83" t="b">
        <v>0</v>
      </c>
      <c r="F891" s="83" t="b">
        <v>0</v>
      </c>
      <c r="G891" s="83" t="b">
        <v>0</v>
      </c>
    </row>
    <row r="892" spans="1:7" ht="15">
      <c r="A892" s="84" t="s">
        <v>1823</v>
      </c>
      <c r="B892" s="83">
        <v>2</v>
      </c>
      <c r="C892" s="110">
        <v>0.0021484733739836645</v>
      </c>
      <c r="D892" s="83" t="s">
        <v>1378</v>
      </c>
      <c r="E892" s="83" t="b">
        <v>0</v>
      </c>
      <c r="F892" s="83" t="b">
        <v>0</v>
      </c>
      <c r="G892" s="83" t="b">
        <v>0</v>
      </c>
    </row>
    <row r="893" spans="1:7" ht="15">
      <c r="A893" s="84" t="s">
        <v>1824</v>
      </c>
      <c r="B893" s="83">
        <v>2</v>
      </c>
      <c r="C893" s="110">
        <v>0.0021484733739836645</v>
      </c>
      <c r="D893" s="83" t="s">
        <v>1378</v>
      </c>
      <c r="E893" s="83" t="b">
        <v>0</v>
      </c>
      <c r="F893" s="83" t="b">
        <v>0</v>
      </c>
      <c r="G893" s="83" t="b">
        <v>0</v>
      </c>
    </row>
    <row r="894" spans="1:7" ht="15">
      <c r="A894" s="84" t="s">
        <v>1807</v>
      </c>
      <c r="B894" s="83">
        <v>2</v>
      </c>
      <c r="C894" s="110">
        <v>0.0018400410013771264</v>
      </c>
      <c r="D894" s="83" t="s">
        <v>1378</v>
      </c>
      <c r="E894" s="83" t="b">
        <v>0</v>
      </c>
      <c r="F894" s="83" t="b">
        <v>0</v>
      </c>
      <c r="G894" s="83" t="b">
        <v>0</v>
      </c>
    </row>
    <row r="895" spans="1:7" ht="15">
      <c r="A895" s="84" t="s">
        <v>1810</v>
      </c>
      <c r="B895" s="83">
        <v>2</v>
      </c>
      <c r="C895" s="110">
        <v>0.0018400410013771264</v>
      </c>
      <c r="D895" s="83" t="s">
        <v>1378</v>
      </c>
      <c r="E895" s="83" t="b">
        <v>0</v>
      </c>
      <c r="F895" s="83" t="b">
        <v>0</v>
      </c>
      <c r="G895" s="83" t="b">
        <v>0</v>
      </c>
    </row>
    <row r="896" spans="1:7" ht="15">
      <c r="A896" s="84" t="s">
        <v>1812</v>
      </c>
      <c r="B896" s="83">
        <v>2</v>
      </c>
      <c r="C896" s="110">
        <v>0.0018400410013771264</v>
      </c>
      <c r="D896" s="83" t="s">
        <v>1378</v>
      </c>
      <c r="E896" s="83" t="b">
        <v>0</v>
      </c>
      <c r="F896" s="83" t="b">
        <v>0</v>
      </c>
      <c r="G896" s="83" t="b">
        <v>0</v>
      </c>
    </row>
    <row r="897" spans="1:7" ht="15">
      <c r="A897" s="84" t="s">
        <v>1596</v>
      </c>
      <c r="B897" s="83">
        <v>2</v>
      </c>
      <c r="C897" s="110">
        <v>0.0021484733739836645</v>
      </c>
      <c r="D897" s="83" t="s">
        <v>1378</v>
      </c>
      <c r="E897" s="83" t="b">
        <v>0</v>
      </c>
      <c r="F897" s="83" t="b">
        <v>0</v>
      </c>
      <c r="G897" s="83" t="b">
        <v>0</v>
      </c>
    </row>
    <row r="898" spans="1:7" ht="15">
      <c r="A898" s="84" t="s">
        <v>1774</v>
      </c>
      <c r="B898" s="83">
        <v>2</v>
      </c>
      <c r="C898" s="110">
        <v>0.0018400410013771264</v>
      </c>
      <c r="D898" s="83" t="s">
        <v>1378</v>
      </c>
      <c r="E898" s="83" t="b">
        <v>0</v>
      </c>
      <c r="F898" s="83" t="b">
        <v>0</v>
      </c>
      <c r="G898" s="83" t="b">
        <v>0</v>
      </c>
    </row>
    <row r="899" spans="1:7" ht="15">
      <c r="A899" s="84" t="s">
        <v>1775</v>
      </c>
      <c r="B899" s="83">
        <v>2</v>
      </c>
      <c r="C899" s="110">
        <v>0.0021484733739836645</v>
      </c>
      <c r="D899" s="83" t="s">
        <v>1378</v>
      </c>
      <c r="E899" s="83" t="b">
        <v>0</v>
      </c>
      <c r="F899" s="83" t="b">
        <v>0</v>
      </c>
      <c r="G899" s="83" t="b">
        <v>0</v>
      </c>
    </row>
    <row r="900" spans="1:7" ht="15">
      <c r="A900" s="84" t="s">
        <v>1655</v>
      </c>
      <c r="B900" s="83">
        <v>2</v>
      </c>
      <c r="C900" s="110">
        <v>0.0021484733739836645</v>
      </c>
      <c r="D900" s="83" t="s">
        <v>1378</v>
      </c>
      <c r="E900" s="83" t="b">
        <v>0</v>
      </c>
      <c r="F900" s="83" t="b">
        <v>0</v>
      </c>
      <c r="G900" s="83" t="b">
        <v>0</v>
      </c>
    </row>
    <row r="901" spans="1:7" ht="15">
      <c r="A901" s="84" t="s">
        <v>1667</v>
      </c>
      <c r="B901" s="83">
        <v>2</v>
      </c>
      <c r="C901" s="110">
        <v>0.0018400410013771264</v>
      </c>
      <c r="D901" s="83" t="s">
        <v>1378</v>
      </c>
      <c r="E901" s="83" t="b">
        <v>0</v>
      </c>
      <c r="F901" s="83" t="b">
        <v>0</v>
      </c>
      <c r="G901" s="83" t="b">
        <v>0</v>
      </c>
    </row>
    <row r="902" spans="1:7" ht="15">
      <c r="A902" s="84" t="s">
        <v>1785</v>
      </c>
      <c r="B902" s="83">
        <v>2</v>
      </c>
      <c r="C902" s="110">
        <v>0.0018400410013771264</v>
      </c>
      <c r="D902" s="83" t="s">
        <v>1378</v>
      </c>
      <c r="E902" s="83" t="b">
        <v>0</v>
      </c>
      <c r="F902" s="83" t="b">
        <v>0</v>
      </c>
      <c r="G902" s="83" t="b">
        <v>0</v>
      </c>
    </row>
    <row r="903" spans="1:7" ht="15">
      <c r="A903" s="84" t="s">
        <v>1787</v>
      </c>
      <c r="B903" s="83">
        <v>2</v>
      </c>
      <c r="C903" s="110">
        <v>0.0021484733739836645</v>
      </c>
      <c r="D903" s="83" t="s">
        <v>1378</v>
      </c>
      <c r="E903" s="83" t="b">
        <v>0</v>
      </c>
      <c r="F903" s="83" t="b">
        <v>0</v>
      </c>
      <c r="G903" s="83" t="b">
        <v>0</v>
      </c>
    </row>
    <row r="904" spans="1:7" ht="15">
      <c r="A904" s="84" t="s">
        <v>1673</v>
      </c>
      <c r="B904" s="83">
        <v>2</v>
      </c>
      <c r="C904" s="110">
        <v>0.0018400410013771264</v>
      </c>
      <c r="D904" s="83" t="s">
        <v>1378</v>
      </c>
      <c r="E904" s="83" t="b">
        <v>0</v>
      </c>
      <c r="F904" s="83" t="b">
        <v>0</v>
      </c>
      <c r="G904" s="83" t="b">
        <v>0</v>
      </c>
    </row>
    <row r="905" spans="1:7" ht="15">
      <c r="A905" s="84" t="s">
        <v>1792</v>
      </c>
      <c r="B905" s="83">
        <v>2</v>
      </c>
      <c r="C905" s="110">
        <v>0.0021484733739836645</v>
      </c>
      <c r="D905" s="83" t="s">
        <v>1378</v>
      </c>
      <c r="E905" s="83" t="b">
        <v>0</v>
      </c>
      <c r="F905" s="83" t="b">
        <v>0</v>
      </c>
      <c r="G905" s="83" t="b">
        <v>0</v>
      </c>
    </row>
    <row r="906" spans="1:7" ht="15">
      <c r="A906" s="84" t="s">
        <v>1793</v>
      </c>
      <c r="B906" s="83">
        <v>2</v>
      </c>
      <c r="C906" s="110">
        <v>0.0018400410013771264</v>
      </c>
      <c r="D906" s="83" t="s">
        <v>1378</v>
      </c>
      <c r="E906" s="83" t="b">
        <v>0</v>
      </c>
      <c r="F906" s="83" t="b">
        <v>0</v>
      </c>
      <c r="G906" s="83" t="b">
        <v>0</v>
      </c>
    </row>
    <row r="907" spans="1:7" ht="15">
      <c r="A907" s="84" t="s">
        <v>1795</v>
      </c>
      <c r="B907" s="83">
        <v>2</v>
      </c>
      <c r="C907" s="110">
        <v>0.0018400410013771264</v>
      </c>
      <c r="D907" s="83" t="s">
        <v>1378</v>
      </c>
      <c r="E907" s="83" t="b">
        <v>0</v>
      </c>
      <c r="F907" s="83" t="b">
        <v>0</v>
      </c>
      <c r="G907" s="83" t="b">
        <v>0</v>
      </c>
    </row>
    <row r="908" spans="1:7" ht="15">
      <c r="A908" s="84" t="s">
        <v>1814</v>
      </c>
      <c r="B908" s="83">
        <v>2</v>
      </c>
      <c r="C908" s="110">
        <v>0.0018400410013771264</v>
      </c>
      <c r="D908" s="83" t="s">
        <v>1378</v>
      </c>
      <c r="E908" s="83" t="b">
        <v>0</v>
      </c>
      <c r="F908" s="83" t="b">
        <v>1</v>
      </c>
      <c r="G908" s="83" t="b">
        <v>0</v>
      </c>
    </row>
    <row r="909" spans="1:7" ht="15">
      <c r="A909" s="84" t="s">
        <v>1817</v>
      </c>
      <c r="B909" s="83">
        <v>2</v>
      </c>
      <c r="C909" s="110">
        <v>0.0018400410013771264</v>
      </c>
      <c r="D909" s="83" t="s">
        <v>1378</v>
      </c>
      <c r="E909" s="83" t="b">
        <v>1</v>
      </c>
      <c r="F909" s="83" t="b">
        <v>0</v>
      </c>
      <c r="G909" s="83" t="b">
        <v>0</v>
      </c>
    </row>
    <row r="910" spans="1:7" ht="15">
      <c r="A910" s="84" t="s">
        <v>1818</v>
      </c>
      <c r="B910" s="83">
        <v>2</v>
      </c>
      <c r="C910" s="110">
        <v>0.0018400410013771264</v>
      </c>
      <c r="D910" s="83" t="s">
        <v>1378</v>
      </c>
      <c r="E910" s="83" t="b">
        <v>0</v>
      </c>
      <c r="F910" s="83" t="b">
        <v>0</v>
      </c>
      <c r="G910" s="83" t="b">
        <v>0</v>
      </c>
    </row>
    <row r="911" spans="1:7" ht="15">
      <c r="A911" s="84" t="s">
        <v>1683</v>
      </c>
      <c r="B911" s="83">
        <v>2</v>
      </c>
      <c r="C911" s="110">
        <v>0.0021484733739836645</v>
      </c>
      <c r="D911" s="83" t="s">
        <v>1378</v>
      </c>
      <c r="E911" s="83" t="b">
        <v>0</v>
      </c>
      <c r="F911" s="83" t="b">
        <v>0</v>
      </c>
      <c r="G911" s="83" t="b">
        <v>0</v>
      </c>
    </row>
    <row r="912" spans="1:7" ht="15">
      <c r="A912" s="84" t="s">
        <v>1650</v>
      </c>
      <c r="B912" s="83">
        <v>2</v>
      </c>
      <c r="C912" s="110">
        <v>0.0018400410013771264</v>
      </c>
      <c r="D912" s="83" t="s">
        <v>1378</v>
      </c>
      <c r="E912" s="83" t="b">
        <v>0</v>
      </c>
      <c r="F912" s="83" t="b">
        <v>0</v>
      </c>
      <c r="G912" s="83" t="b">
        <v>0</v>
      </c>
    </row>
    <row r="913" spans="1:7" ht="15">
      <c r="A913" s="84" t="s">
        <v>1828</v>
      </c>
      <c r="B913" s="83">
        <v>2</v>
      </c>
      <c r="C913" s="110">
        <v>0.0018400410013771264</v>
      </c>
      <c r="D913" s="83" t="s">
        <v>1378</v>
      </c>
      <c r="E913" s="83" t="b">
        <v>1</v>
      </c>
      <c r="F913" s="83" t="b">
        <v>0</v>
      </c>
      <c r="G913" s="83" t="b">
        <v>0</v>
      </c>
    </row>
    <row r="914" spans="1:7" ht="15">
      <c r="A914" s="84" t="s">
        <v>1831</v>
      </c>
      <c r="B914" s="83">
        <v>2</v>
      </c>
      <c r="C914" s="110">
        <v>0.0018400410013771264</v>
      </c>
      <c r="D914" s="83" t="s">
        <v>1378</v>
      </c>
      <c r="E914" s="83" t="b">
        <v>0</v>
      </c>
      <c r="F914" s="83" t="b">
        <v>0</v>
      </c>
      <c r="G914" s="83" t="b">
        <v>0</v>
      </c>
    </row>
    <row r="915" spans="1:7" ht="15">
      <c r="A915" s="84" t="s">
        <v>1833</v>
      </c>
      <c r="B915" s="83">
        <v>2</v>
      </c>
      <c r="C915" s="110">
        <v>0.0018400410013771264</v>
      </c>
      <c r="D915" s="83" t="s">
        <v>1378</v>
      </c>
      <c r="E915" s="83" t="b">
        <v>0</v>
      </c>
      <c r="F915" s="83" t="b">
        <v>0</v>
      </c>
      <c r="G915" s="83" t="b">
        <v>0</v>
      </c>
    </row>
    <row r="916" spans="1:7" ht="15">
      <c r="A916" s="84" t="s">
        <v>1834</v>
      </c>
      <c r="B916" s="83">
        <v>2</v>
      </c>
      <c r="C916" s="110">
        <v>0.0021484733739836645</v>
      </c>
      <c r="D916" s="83" t="s">
        <v>1378</v>
      </c>
      <c r="E916" s="83" t="b">
        <v>0</v>
      </c>
      <c r="F916" s="83" t="b">
        <v>1</v>
      </c>
      <c r="G916" s="83" t="b">
        <v>0</v>
      </c>
    </row>
    <row r="917" spans="1:7" ht="15">
      <c r="A917" s="84" t="s">
        <v>1836</v>
      </c>
      <c r="B917" s="83">
        <v>2</v>
      </c>
      <c r="C917" s="110">
        <v>0.0018400410013771264</v>
      </c>
      <c r="D917" s="83" t="s">
        <v>1378</v>
      </c>
      <c r="E917" s="83" t="b">
        <v>0</v>
      </c>
      <c r="F917" s="83" t="b">
        <v>0</v>
      </c>
      <c r="G917" s="83" t="b">
        <v>0</v>
      </c>
    </row>
    <row r="918" spans="1:7" ht="15">
      <c r="A918" s="84" t="s">
        <v>1840</v>
      </c>
      <c r="B918" s="83">
        <v>2</v>
      </c>
      <c r="C918" s="110">
        <v>0.0021484733739836645</v>
      </c>
      <c r="D918" s="83" t="s">
        <v>1378</v>
      </c>
      <c r="E918" s="83" t="b">
        <v>0</v>
      </c>
      <c r="F918" s="83" t="b">
        <v>0</v>
      </c>
      <c r="G918" s="83" t="b">
        <v>0</v>
      </c>
    </row>
    <row r="919" spans="1:7" ht="15">
      <c r="A919" s="84" t="s">
        <v>1841</v>
      </c>
      <c r="B919" s="83">
        <v>2</v>
      </c>
      <c r="C919" s="110">
        <v>0.0021484733739836645</v>
      </c>
      <c r="D919" s="83" t="s">
        <v>1378</v>
      </c>
      <c r="E919" s="83" t="b">
        <v>0</v>
      </c>
      <c r="F919" s="83" t="b">
        <v>0</v>
      </c>
      <c r="G919" s="83" t="b">
        <v>0</v>
      </c>
    </row>
    <row r="920" spans="1:7" ht="15">
      <c r="A920" s="84" t="s">
        <v>1697</v>
      </c>
      <c r="B920" s="83">
        <v>2</v>
      </c>
      <c r="C920" s="110">
        <v>0.0018400410013771264</v>
      </c>
      <c r="D920" s="83" t="s">
        <v>1378</v>
      </c>
      <c r="E920" s="83" t="b">
        <v>0</v>
      </c>
      <c r="F920" s="83" t="b">
        <v>0</v>
      </c>
      <c r="G920" s="83" t="b">
        <v>0</v>
      </c>
    </row>
    <row r="921" spans="1:7" ht="15">
      <c r="A921" s="84" t="s">
        <v>1849</v>
      </c>
      <c r="B921" s="83">
        <v>2</v>
      </c>
      <c r="C921" s="110">
        <v>0.0018400410013771264</v>
      </c>
      <c r="D921" s="83" t="s">
        <v>1378</v>
      </c>
      <c r="E921" s="83" t="b">
        <v>0</v>
      </c>
      <c r="F921" s="83" t="b">
        <v>0</v>
      </c>
      <c r="G921" s="83" t="b">
        <v>0</v>
      </c>
    </row>
    <row r="922" spans="1:7" ht="15">
      <c r="A922" s="84" t="s">
        <v>1842</v>
      </c>
      <c r="B922" s="83">
        <v>2</v>
      </c>
      <c r="C922" s="110">
        <v>0.0021484733739836645</v>
      </c>
      <c r="D922" s="83" t="s">
        <v>1378</v>
      </c>
      <c r="E922" s="83" t="b">
        <v>0</v>
      </c>
      <c r="F922" s="83" t="b">
        <v>0</v>
      </c>
      <c r="G922" s="83" t="b">
        <v>0</v>
      </c>
    </row>
    <row r="923" spans="1:7" ht="15">
      <c r="A923" s="84" t="s">
        <v>1862</v>
      </c>
      <c r="B923" s="83">
        <v>2</v>
      </c>
      <c r="C923" s="110">
        <v>0.0018400410013771264</v>
      </c>
      <c r="D923" s="83" t="s">
        <v>1378</v>
      </c>
      <c r="E923" s="83" t="b">
        <v>0</v>
      </c>
      <c r="F923" s="83" t="b">
        <v>0</v>
      </c>
      <c r="G923" s="83" t="b">
        <v>0</v>
      </c>
    </row>
    <row r="924" spans="1:7" ht="15">
      <c r="A924" s="84" t="s">
        <v>1863</v>
      </c>
      <c r="B924" s="83">
        <v>2</v>
      </c>
      <c r="C924" s="110">
        <v>0.0018400410013771264</v>
      </c>
      <c r="D924" s="83" t="s">
        <v>1378</v>
      </c>
      <c r="E924" s="83" t="b">
        <v>1</v>
      </c>
      <c r="F924" s="83" t="b">
        <v>0</v>
      </c>
      <c r="G924" s="83" t="b">
        <v>0</v>
      </c>
    </row>
    <row r="925" spans="1:7" ht="15">
      <c r="A925" s="84" t="s">
        <v>1864</v>
      </c>
      <c r="B925" s="83">
        <v>2</v>
      </c>
      <c r="C925" s="110">
        <v>0.0018400410013771264</v>
      </c>
      <c r="D925" s="83" t="s">
        <v>1378</v>
      </c>
      <c r="E925" s="83" t="b">
        <v>0</v>
      </c>
      <c r="F925" s="83" t="b">
        <v>0</v>
      </c>
      <c r="G925" s="83" t="b">
        <v>0</v>
      </c>
    </row>
    <row r="926" spans="1:7" ht="15">
      <c r="A926" s="84" t="s">
        <v>1880</v>
      </c>
      <c r="B926" s="83">
        <v>2</v>
      </c>
      <c r="C926" s="110">
        <v>0.0021484733739836645</v>
      </c>
      <c r="D926" s="83" t="s">
        <v>1378</v>
      </c>
      <c r="E926" s="83" t="b">
        <v>0</v>
      </c>
      <c r="F926" s="83" t="b">
        <v>0</v>
      </c>
      <c r="G926" s="83" t="b">
        <v>0</v>
      </c>
    </row>
    <row r="927" spans="1:7" ht="15">
      <c r="A927" s="84" t="s">
        <v>1705</v>
      </c>
      <c r="B927" s="83">
        <v>2</v>
      </c>
      <c r="C927" s="110">
        <v>0.0018400410013771264</v>
      </c>
      <c r="D927" s="83" t="s">
        <v>1378</v>
      </c>
      <c r="E927" s="83" t="b">
        <v>0</v>
      </c>
      <c r="F927" s="83" t="b">
        <v>0</v>
      </c>
      <c r="G927" s="83" t="b">
        <v>0</v>
      </c>
    </row>
    <row r="928" spans="1:7" ht="15">
      <c r="A928" s="84" t="s">
        <v>1882</v>
      </c>
      <c r="B928" s="83">
        <v>2</v>
      </c>
      <c r="C928" s="110">
        <v>0.0018400410013771264</v>
      </c>
      <c r="D928" s="83" t="s">
        <v>1378</v>
      </c>
      <c r="E928" s="83" t="b">
        <v>0</v>
      </c>
      <c r="F928" s="83" t="b">
        <v>0</v>
      </c>
      <c r="G928" s="83" t="b">
        <v>0</v>
      </c>
    </row>
    <row r="929" spans="1:7" ht="15">
      <c r="A929" s="84" t="s">
        <v>1615</v>
      </c>
      <c r="B929" s="83">
        <v>2</v>
      </c>
      <c r="C929" s="110">
        <v>0.0018400410013771264</v>
      </c>
      <c r="D929" s="83" t="s">
        <v>1378</v>
      </c>
      <c r="E929" s="83" t="b">
        <v>1</v>
      </c>
      <c r="F929" s="83" t="b">
        <v>0</v>
      </c>
      <c r="G929" s="83" t="b">
        <v>0</v>
      </c>
    </row>
    <row r="930" spans="1:7" ht="15">
      <c r="A930" s="84" t="s">
        <v>1674</v>
      </c>
      <c r="B930" s="83">
        <v>2</v>
      </c>
      <c r="C930" s="110">
        <v>0.0018400410013771264</v>
      </c>
      <c r="D930" s="83" t="s">
        <v>1378</v>
      </c>
      <c r="E930" s="83" t="b">
        <v>0</v>
      </c>
      <c r="F930" s="83" t="b">
        <v>0</v>
      </c>
      <c r="G930" s="83" t="b">
        <v>0</v>
      </c>
    </row>
    <row r="931" spans="1:7" ht="15">
      <c r="A931" s="84" t="s">
        <v>1884</v>
      </c>
      <c r="B931" s="83">
        <v>2</v>
      </c>
      <c r="C931" s="110">
        <v>0.0018400410013771264</v>
      </c>
      <c r="D931" s="83" t="s">
        <v>1378</v>
      </c>
      <c r="E931" s="83" t="b">
        <v>0</v>
      </c>
      <c r="F931" s="83" t="b">
        <v>0</v>
      </c>
      <c r="G931" s="83" t="b">
        <v>0</v>
      </c>
    </row>
    <row r="932" spans="1:7" ht="15">
      <c r="A932" s="84" t="s">
        <v>1886</v>
      </c>
      <c r="B932" s="83">
        <v>2</v>
      </c>
      <c r="C932" s="110">
        <v>0.0018400410013771264</v>
      </c>
      <c r="D932" s="83" t="s">
        <v>1378</v>
      </c>
      <c r="E932" s="83" t="b">
        <v>1</v>
      </c>
      <c r="F932" s="83" t="b">
        <v>0</v>
      </c>
      <c r="G932" s="83" t="b">
        <v>0</v>
      </c>
    </row>
    <row r="933" spans="1:7" ht="15">
      <c r="A933" s="84" t="s">
        <v>1907</v>
      </c>
      <c r="B933" s="83">
        <v>2</v>
      </c>
      <c r="C933" s="110">
        <v>0.0021484733739836645</v>
      </c>
      <c r="D933" s="83" t="s">
        <v>1378</v>
      </c>
      <c r="E933" s="83" t="b">
        <v>0</v>
      </c>
      <c r="F933" s="83" t="b">
        <v>0</v>
      </c>
      <c r="G933" s="83" t="b">
        <v>0</v>
      </c>
    </row>
    <row r="934" spans="1:7" ht="15">
      <c r="A934" s="84" t="s">
        <v>1621</v>
      </c>
      <c r="B934" s="83">
        <v>2</v>
      </c>
      <c r="C934" s="110">
        <v>0.0018400410013771264</v>
      </c>
      <c r="D934" s="83" t="s">
        <v>1378</v>
      </c>
      <c r="E934" s="83" t="b">
        <v>1</v>
      </c>
      <c r="F934" s="83" t="b">
        <v>0</v>
      </c>
      <c r="G934" s="83" t="b">
        <v>0</v>
      </c>
    </row>
    <row r="935" spans="1:7" ht="15">
      <c r="A935" s="84" t="s">
        <v>1717</v>
      </c>
      <c r="B935" s="83">
        <v>2</v>
      </c>
      <c r="C935" s="110">
        <v>0.0018400410013771264</v>
      </c>
      <c r="D935" s="83" t="s">
        <v>1378</v>
      </c>
      <c r="E935" s="83" t="b">
        <v>0</v>
      </c>
      <c r="F935" s="83" t="b">
        <v>0</v>
      </c>
      <c r="G935" s="83" t="b">
        <v>0</v>
      </c>
    </row>
    <row r="936" spans="1:7" ht="15">
      <c r="A936" s="84" t="s">
        <v>1542</v>
      </c>
      <c r="B936" s="83">
        <v>2</v>
      </c>
      <c r="C936" s="110">
        <v>0.0018400410013771264</v>
      </c>
      <c r="D936" s="83" t="s">
        <v>1378</v>
      </c>
      <c r="E936" s="83" t="b">
        <v>1</v>
      </c>
      <c r="F936" s="83" t="b">
        <v>0</v>
      </c>
      <c r="G936" s="83" t="b">
        <v>0</v>
      </c>
    </row>
    <row r="937" spans="1:7" ht="15">
      <c r="A937" s="84" t="s">
        <v>1913</v>
      </c>
      <c r="B937" s="83">
        <v>2</v>
      </c>
      <c r="C937" s="110">
        <v>0.0018400410013771264</v>
      </c>
      <c r="D937" s="83" t="s">
        <v>1378</v>
      </c>
      <c r="E937" s="83" t="b">
        <v>0</v>
      </c>
      <c r="F937" s="83" t="b">
        <v>0</v>
      </c>
      <c r="G937" s="83" t="b">
        <v>0</v>
      </c>
    </row>
    <row r="938" spans="1:7" ht="15">
      <c r="A938" s="84" t="s">
        <v>1914</v>
      </c>
      <c r="B938" s="83">
        <v>2</v>
      </c>
      <c r="C938" s="110">
        <v>0.0021484733739836645</v>
      </c>
      <c r="D938" s="83" t="s">
        <v>1378</v>
      </c>
      <c r="E938" s="83" t="b">
        <v>0</v>
      </c>
      <c r="F938" s="83" t="b">
        <v>0</v>
      </c>
      <c r="G938" s="83" t="b">
        <v>0</v>
      </c>
    </row>
    <row r="939" spans="1:7" ht="15">
      <c r="A939" s="84" t="s">
        <v>1439</v>
      </c>
      <c r="B939" s="83">
        <v>2</v>
      </c>
      <c r="C939" s="110">
        <v>0.0018400410013771264</v>
      </c>
      <c r="D939" s="83" t="s">
        <v>1378</v>
      </c>
      <c r="E939" s="83" t="b">
        <v>1</v>
      </c>
      <c r="F939" s="83" t="b">
        <v>0</v>
      </c>
      <c r="G939" s="83" t="b">
        <v>0</v>
      </c>
    </row>
    <row r="940" spans="1:7" ht="15">
      <c r="A940" s="84" t="s">
        <v>1953</v>
      </c>
      <c r="B940" s="83">
        <v>2</v>
      </c>
      <c r="C940" s="110">
        <v>0.0018400410013771264</v>
      </c>
      <c r="D940" s="83" t="s">
        <v>1378</v>
      </c>
      <c r="E940" s="83" t="b">
        <v>0</v>
      </c>
      <c r="F940" s="83" t="b">
        <v>0</v>
      </c>
      <c r="G940" s="83" t="b">
        <v>0</v>
      </c>
    </row>
    <row r="941" spans="1:7" ht="15">
      <c r="A941" s="84" t="s">
        <v>1599</v>
      </c>
      <c r="B941" s="83">
        <v>2</v>
      </c>
      <c r="C941" s="110">
        <v>0.0018400410013771264</v>
      </c>
      <c r="D941" s="83" t="s">
        <v>1378</v>
      </c>
      <c r="E941" s="83" t="b">
        <v>0</v>
      </c>
      <c r="F941" s="83" t="b">
        <v>0</v>
      </c>
      <c r="G941" s="83" t="b">
        <v>0</v>
      </c>
    </row>
    <row r="942" spans="1:7" ht="15">
      <c r="A942" s="84" t="s">
        <v>2018</v>
      </c>
      <c r="B942" s="83">
        <v>2</v>
      </c>
      <c r="C942" s="110">
        <v>0.0018400410013771264</v>
      </c>
      <c r="D942" s="83" t="s">
        <v>1378</v>
      </c>
      <c r="E942" s="83" t="b">
        <v>0</v>
      </c>
      <c r="F942" s="83" t="b">
        <v>0</v>
      </c>
      <c r="G942" s="83" t="b">
        <v>0</v>
      </c>
    </row>
    <row r="943" spans="1:7" ht="15">
      <c r="A943" s="84" t="s">
        <v>2020</v>
      </c>
      <c r="B943" s="83">
        <v>2</v>
      </c>
      <c r="C943" s="110">
        <v>0.0018400410013771264</v>
      </c>
      <c r="D943" s="83" t="s">
        <v>1378</v>
      </c>
      <c r="E943" s="83" t="b">
        <v>0</v>
      </c>
      <c r="F943" s="83" t="b">
        <v>0</v>
      </c>
      <c r="G943" s="83" t="b">
        <v>0</v>
      </c>
    </row>
    <row r="944" spans="1:7" ht="15">
      <c r="A944" s="84" t="s">
        <v>1482</v>
      </c>
      <c r="B944" s="83">
        <v>2</v>
      </c>
      <c r="C944" s="110">
        <v>0.0021484733739836645</v>
      </c>
      <c r="D944" s="83" t="s">
        <v>1378</v>
      </c>
      <c r="E944" s="83" t="b">
        <v>0</v>
      </c>
      <c r="F944" s="83" t="b">
        <v>0</v>
      </c>
      <c r="G944" s="83" t="b">
        <v>0</v>
      </c>
    </row>
    <row r="945" spans="1:7" ht="15">
      <c r="A945" s="84" t="s">
        <v>2028</v>
      </c>
      <c r="B945" s="83">
        <v>2</v>
      </c>
      <c r="C945" s="110">
        <v>0.0021484733739836645</v>
      </c>
      <c r="D945" s="83" t="s">
        <v>1378</v>
      </c>
      <c r="E945" s="83" t="b">
        <v>0</v>
      </c>
      <c r="F945" s="83" t="b">
        <v>0</v>
      </c>
      <c r="G945" s="83" t="b">
        <v>0</v>
      </c>
    </row>
    <row r="946" spans="1:7" ht="15">
      <c r="A946" s="84" t="s">
        <v>2032</v>
      </c>
      <c r="B946" s="83">
        <v>2</v>
      </c>
      <c r="C946" s="110">
        <v>0.0021484733739836645</v>
      </c>
      <c r="D946" s="83" t="s">
        <v>1378</v>
      </c>
      <c r="E946" s="83" t="b">
        <v>0</v>
      </c>
      <c r="F946" s="83" t="b">
        <v>0</v>
      </c>
      <c r="G946" s="83" t="b">
        <v>0</v>
      </c>
    </row>
    <row r="947" spans="1:7" ht="15">
      <c r="A947" s="84" t="s">
        <v>2033</v>
      </c>
      <c r="B947" s="83">
        <v>2</v>
      </c>
      <c r="C947" s="110">
        <v>0.0021484733739836645</v>
      </c>
      <c r="D947" s="83" t="s">
        <v>1378</v>
      </c>
      <c r="E947" s="83" t="b">
        <v>0</v>
      </c>
      <c r="F947" s="83" t="b">
        <v>0</v>
      </c>
      <c r="G947" s="83" t="b">
        <v>0</v>
      </c>
    </row>
    <row r="948" spans="1:7" ht="15">
      <c r="A948" s="84" t="s">
        <v>1455</v>
      </c>
      <c r="B948" s="83">
        <v>2</v>
      </c>
      <c r="C948" s="110">
        <v>0</v>
      </c>
      <c r="D948" s="83" t="s">
        <v>1379</v>
      </c>
      <c r="E948" s="83" t="b">
        <v>0</v>
      </c>
      <c r="F948" s="83" t="b">
        <v>0</v>
      </c>
      <c r="G948" s="83" t="b">
        <v>0</v>
      </c>
    </row>
    <row r="949" spans="1:7" ht="15">
      <c r="A949" s="84" t="s">
        <v>1444</v>
      </c>
      <c r="B949" s="83">
        <v>10</v>
      </c>
      <c r="C949" s="110">
        <v>0.024533540453850543</v>
      </c>
      <c r="D949" s="83" t="s">
        <v>1380</v>
      </c>
      <c r="E949" s="83" t="b">
        <v>0</v>
      </c>
      <c r="F949" s="83" t="b">
        <v>0</v>
      </c>
      <c r="G949" s="83" t="b">
        <v>0</v>
      </c>
    </row>
    <row r="950" spans="1:7" ht="15">
      <c r="A950" s="84" t="s">
        <v>1453</v>
      </c>
      <c r="B950" s="83">
        <v>10</v>
      </c>
      <c r="C950" s="110">
        <v>0.024533540453850543</v>
      </c>
      <c r="D950" s="83" t="s">
        <v>1380</v>
      </c>
      <c r="E950" s="83" t="b">
        <v>0</v>
      </c>
      <c r="F950" s="83" t="b">
        <v>0</v>
      </c>
      <c r="G950" s="83" t="b">
        <v>0</v>
      </c>
    </row>
    <row r="951" spans="1:7" ht="15">
      <c r="A951" s="84" t="s">
        <v>1428</v>
      </c>
      <c r="B951" s="83">
        <v>6</v>
      </c>
      <c r="C951" s="110">
        <v>0.014720124272310326</v>
      </c>
      <c r="D951" s="83" t="s">
        <v>1380</v>
      </c>
      <c r="E951" s="83" t="b">
        <v>0</v>
      </c>
      <c r="F951" s="83" t="b">
        <v>0</v>
      </c>
      <c r="G951" s="83" t="b">
        <v>0</v>
      </c>
    </row>
    <row r="952" spans="1:7" ht="15">
      <c r="A952" s="84" t="s">
        <v>1432</v>
      </c>
      <c r="B952" s="83">
        <v>6</v>
      </c>
      <c r="C952" s="110">
        <v>0.022573080680935925</v>
      </c>
      <c r="D952" s="83" t="s">
        <v>1380</v>
      </c>
      <c r="E952" s="83" t="b">
        <v>0</v>
      </c>
      <c r="F952" s="83" t="b">
        <v>0</v>
      </c>
      <c r="G952" s="83" t="b">
        <v>0</v>
      </c>
    </row>
    <row r="953" spans="1:7" ht="15">
      <c r="A953" s="84" t="s">
        <v>1573</v>
      </c>
      <c r="B953" s="83">
        <v>5</v>
      </c>
      <c r="C953" s="110">
        <v>0.018810900567446602</v>
      </c>
      <c r="D953" s="83" t="s">
        <v>1380</v>
      </c>
      <c r="E953" s="83" t="b">
        <v>0</v>
      </c>
      <c r="F953" s="83" t="b">
        <v>0</v>
      </c>
      <c r="G953" s="83" t="b">
        <v>0</v>
      </c>
    </row>
    <row r="954" spans="1:7" ht="15">
      <c r="A954" s="84" t="s">
        <v>1574</v>
      </c>
      <c r="B954" s="83">
        <v>5</v>
      </c>
      <c r="C954" s="110">
        <v>0.018810900567446602</v>
      </c>
      <c r="D954" s="83" t="s">
        <v>1380</v>
      </c>
      <c r="E954" s="83" t="b">
        <v>0</v>
      </c>
      <c r="F954" s="83" t="b">
        <v>0</v>
      </c>
      <c r="G954" s="83" t="b">
        <v>0</v>
      </c>
    </row>
    <row r="955" spans="1:7" ht="15">
      <c r="A955" s="84" t="s">
        <v>1434</v>
      </c>
      <c r="B955" s="83">
        <v>4</v>
      </c>
      <c r="C955" s="110">
        <v>0.015048720453957283</v>
      </c>
      <c r="D955" s="83" t="s">
        <v>1380</v>
      </c>
      <c r="E955" s="83" t="b">
        <v>0</v>
      </c>
      <c r="F955" s="83" t="b">
        <v>0</v>
      </c>
      <c r="G955" s="83" t="b">
        <v>0</v>
      </c>
    </row>
    <row r="956" spans="1:7" ht="15">
      <c r="A956" s="84" t="s">
        <v>1431</v>
      </c>
      <c r="B956" s="83">
        <v>4</v>
      </c>
      <c r="C956" s="110">
        <v>0.015048720453957283</v>
      </c>
      <c r="D956" s="83" t="s">
        <v>1380</v>
      </c>
      <c r="E956" s="83" t="b">
        <v>0</v>
      </c>
      <c r="F956" s="83" t="b">
        <v>0</v>
      </c>
      <c r="G956" s="83" t="b">
        <v>0</v>
      </c>
    </row>
    <row r="957" spans="1:7" ht="15">
      <c r="A957" s="84" t="s">
        <v>1436</v>
      </c>
      <c r="B957" s="83">
        <v>4</v>
      </c>
      <c r="C957" s="110">
        <v>0.015048720453957283</v>
      </c>
      <c r="D957" s="83" t="s">
        <v>1380</v>
      </c>
      <c r="E957" s="83" t="b">
        <v>0</v>
      </c>
      <c r="F957" s="83" t="b">
        <v>0</v>
      </c>
      <c r="G957" s="83" t="b">
        <v>0</v>
      </c>
    </row>
    <row r="958" spans="1:7" ht="15">
      <c r="A958" s="84" t="s">
        <v>1447</v>
      </c>
      <c r="B958" s="83">
        <v>4</v>
      </c>
      <c r="C958" s="110">
        <v>0.01287587286076946</v>
      </c>
      <c r="D958" s="83" t="s">
        <v>1380</v>
      </c>
      <c r="E958" s="83" t="b">
        <v>0</v>
      </c>
      <c r="F958" s="83" t="b">
        <v>0</v>
      </c>
      <c r="G958" s="83" t="b">
        <v>0</v>
      </c>
    </row>
    <row r="959" spans="1:7" ht="15">
      <c r="A959" s="84" t="s">
        <v>1439</v>
      </c>
      <c r="B959" s="83">
        <v>3</v>
      </c>
      <c r="C959" s="110">
        <v>0.011286540340467962</v>
      </c>
      <c r="D959" s="83" t="s">
        <v>1380</v>
      </c>
      <c r="E959" s="83" t="b">
        <v>1</v>
      </c>
      <c r="F959" s="83" t="b">
        <v>0</v>
      </c>
      <c r="G959" s="83" t="b">
        <v>0</v>
      </c>
    </row>
    <row r="960" spans="1:7" ht="15">
      <c r="A960" s="84" t="s">
        <v>1456</v>
      </c>
      <c r="B960" s="83">
        <v>3</v>
      </c>
      <c r="C960" s="110">
        <v>0.011286540340467962</v>
      </c>
      <c r="D960" s="83" t="s">
        <v>1380</v>
      </c>
      <c r="E960" s="83" t="b">
        <v>1</v>
      </c>
      <c r="F960" s="83" t="b">
        <v>0</v>
      </c>
      <c r="G960" s="83" t="b">
        <v>0</v>
      </c>
    </row>
    <row r="961" spans="1:7" ht="15">
      <c r="A961" s="84" t="s">
        <v>1441</v>
      </c>
      <c r="B961" s="83">
        <v>3</v>
      </c>
      <c r="C961" s="110">
        <v>0.011286540340467962</v>
      </c>
      <c r="D961" s="83" t="s">
        <v>1380</v>
      </c>
      <c r="E961" s="83" t="b">
        <v>0</v>
      </c>
      <c r="F961" s="83" t="b">
        <v>0</v>
      </c>
      <c r="G961" s="83" t="b">
        <v>0</v>
      </c>
    </row>
    <row r="962" spans="1:7" ht="15">
      <c r="A962" s="84" t="s">
        <v>1597</v>
      </c>
      <c r="B962" s="83">
        <v>3</v>
      </c>
      <c r="C962" s="110">
        <v>0.011286540340467962</v>
      </c>
      <c r="D962" s="83" t="s">
        <v>1380</v>
      </c>
      <c r="E962" s="83" t="b">
        <v>0</v>
      </c>
      <c r="F962" s="83" t="b">
        <v>0</v>
      </c>
      <c r="G962" s="83" t="b">
        <v>0</v>
      </c>
    </row>
    <row r="963" spans="1:7" ht="15">
      <c r="A963" s="84" t="s">
        <v>1496</v>
      </c>
      <c r="B963" s="83">
        <v>3</v>
      </c>
      <c r="C963" s="110">
        <v>0.011286540340467962</v>
      </c>
      <c r="D963" s="83" t="s">
        <v>1380</v>
      </c>
      <c r="E963" s="83" t="b">
        <v>0</v>
      </c>
      <c r="F963" s="83" t="b">
        <v>0</v>
      </c>
      <c r="G963" s="83" t="b">
        <v>0</v>
      </c>
    </row>
    <row r="964" spans="1:7" ht="15">
      <c r="A964" s="84" t="s">
        <v>1660</v>
      </c>
      <c r="B964" s="83">
        <v>3</v>
      </c>
      <c r="C964" s="110">
        <v>0.011286540340467962</v>
      </c>
      <c r="D964" s="83" t="s">
        <v>1380</v>
      </c>
      <c r="E964" s="83" t="b">
        <v>0</v>
      </c>
      <c r="F964" s="83" t="b">
        <v>0</v>
      </c>
      <c r="G964" s="83" t="b">
        <v>0</v>
      </c>
    </row>
    <row r="965" spans="1:7" ht="15">
      <c r="A965" s="84" t="s">
        <v>1661</v>
      </c>
      <c r="B965" s="83">
        <v>3</v>
      </c>
      <c r="C965" s="110">
        <v>0.011286540340467962</v>
      </c>
      <c r="D965" s="83" t="s">
        <v>1380</v>
      </c>
      <c r="E965" s="83" t="b">
        <v>0</v>
      </c>
      <c r="F965" s="83" t="b">
        <v>0</v>
      </c>
      <c r="G965" s="83" t="b">
        <v>0</v>
      </c>
    </row>
    <row r="966" spans="1:7" ht="15">
      <c r="A966" s="84" t="s">
        <v>1662</v>
      </c>
      <c r="B966" s="83">
        <v>3</v>
      </c>
      <c r="C966" s="110">
        <v>0.011286540340467962</v>
      </c>
      <c r="D966" s="83" t="s">
        <v>1380</v>
      </c>
      <c r="E966" s="83" t="b">
        <v>0</v>
      </c>
      <c r="F966" s="83" t="b">
        <v>0</v>
      </c>
      <c r="G966" s="83" t="b">
        <v>0</v>
      </c>
    </row>
    <row r="967" spans="1:7" ht="15">
      <c r="A967" s="84" t="s">
        <v>1663</v>
      </c>
      <c r="B967" s="83">
        <v>3</v>
      </c>
      <c r="C967" s="110">
        <v>0.011286540340467962</v>
      </c>
      <c r="D967" s="83" t="s">
        <v>1380</v>
      </c>
      <c r="E967" s="83" t="b">
        <v>0</v>
      </c>
      <c r="F967" s="83" t="b">
        <v>0</v>
      </c>
      <c r="G967" s="83" t="b">
        <v>0</v>
      </c>
    </row>
    <row r="968" spans="1:7" ht="15">
      <c r="A968" s="84" t="s">
        <v>1512</v>
      </c>
      <c r="B968" s="83">
        <v>3</v>
      </c>
      <c r="C968" s="110">
        <v>0.011286540340467962</v>
      </c>
      <c r="D968" s="83" t="s">
        <v>1380</v>
      </c>
      <c r="E968" s="83" t="b">
        <v>0</v>
      </c>
      <c r="F968" s="83" t="b">
        <v>0</v>
      </c>
      <c r="G968" s="83" t="b">
        <v>0</v>
      </c>
    </row>
    <row r="969" spans="1:7" ht="15">
      <c r="A969" s="84" t="s">
        <v>1699</v>
      </c>
      <c r="B969" s="83">
        <v>3</v>
      </c>
      <c r="C969" s="110">
        <v>0.011286540340467962</v>
      </c>
      <c r="D969" s="83" t="s">
        <v>1380</v>
      </c>
      <c r="E969" s="83" t="b">
        <v>0</v>
      </c>
      <c r="F969" s="83" t="b">
        <v>0</v>
      </c>
      <c r="G969" s="83" t="b">
        <v>0</v>
      </c>
    </row>
    <row r="970" spans="1:7" ht="15">
      <c r="A970" s="84" t="s">
        <v>1700</v>
      </c>
      <c r="B970" s="83">
        <v>3</v>
      </c>
      <c r="C970" s="110">
        <v>0.011286540340467962</v>
      </c>
      <c r="D970" s="83" t="s">
        <v>1380</v>
      </c>
      <c r="E970" s="83" t="b">
        <v>0</v>
      </c>
      <c r="F970" s="83" t="b">
        <v>0</v>
      </c>
      <c r="G970" s="83" t="b">
        <v>0</v>
      </c>
    </row>
    <row r="971" spans="1:7" ht="15">
      <c r="A971" s="84" t="s">
        <v>1613</v>
      </c>
      <c r="B971" s="83">
        <v>3</v>
      </c>
      <c r="C971" s="110">
        <v>0.011286540340467962</v>
      </c>
      <c r="D971" s="83" t="s">
        <v>1380</v>
      </c>
      <c r="E971" s="83" t="b">
        <v>0</v>
      </c>
      <c r="F971" s="83" t="b">
        <v>0</v>
      </c>
      <c r="G971" s="83" t="b">
        <v>0</v>
      </c>
    </row>
    <row r="972" spans="1:7" ht="15">
      <c r="A972" s="84" t="s">
        <v>1520</v>
      </c>
      <c r="B972" s="83">
        <v>3</v>
      </c>
      <c r="C972" s="110">
        <v>0.011286540340467962</v>
      </c>
      <c r="D972" s="83" t="s">
        <v>1380</v>
      </c>
      <c r="E972" s="83" t="b">
        <v>0</v>
      </c>
      <c r="F972" s="83" t="b">
        <v>1</v>
      </c>
      <c r="G972" s="83" t="b">
        <v>0</v>
      </c>
    </row>
    <row r="973" spans="1:7" ht="15">
      <c r="A973" s="84" t="s">
        <v>1589</v>
      </c>
      <c r="B973" s="83">
        <v>2</v>
      </c>
      <c r="C973" s="110">
        <v>0.009055588566593262</v>
      </c>
      <c r="D973" s="83" t="s">
        <v>1380</v>
      </c>
      <c r="E973" s="83" t="b">
        <v>0</v>
      </c>
      <c r="F973" s="83" t="b">
        <v>0</v>
      </c>
      <c r="G973" s="83" t="b">
        <v>0</v>
      </c>
    </row>
    <row r="974" spans="1:7" ht="15">
      <c r="A974" s="84" t="s">
        <v>1768</v>
      </c>
      <c r="B974" s="83">
        <v>2</v>
      </c>
      <c r="C974" s="110">
        <v>0.009055588566593262</v>
      </c>
      <c r="D974" s="83" t="s">
        <v>1380</v>
      </c>
      <c r="E974" s="83" t="b">
        <v>0</v>
      </c>
      <c r="F974" s="83" t="b">
        <v>0</v>
      </c>
      <c r="G974" s="83" t="b">
        <v>0</v>
      </c>
    </row>
    <row r="975" spans="1:7" ht="15">
      <c r="A975" s="84" t="s">
        <v>1770</v>
      </c>
      <c r="B975" s="83">
        <v>2</v>
      </c>
      <c r="C975" s="110">
        <v>0.009055588566593262</v>
      </c>
      <c r="D975" s="83" t="s">
        <v>1380</v>
      </c>
      <c r="E975" s="83" t="b">
        <v>0</v>
      </c>
      <c r="F975" s="83" t="b">
        <v>0</v>
      </c>
      <c r="G975" s="83" t="b">
        <v>0</v>
      </c>
    </row>
    <row r="976" spans="1:7" ht="15">
      <c r="A976" s="84" t="s">
        <v>1648</v>
      </c>
      <c r="B976" s="83">
        <v>2</v>
      </c>
      <c r="C976" s="110">
        <v>0.009055588566593262</v>
      </c>
      <c r="D976" s="83" t="s">
        <v>1380</v>
      </c>
      <c r="E976" s="83" t="b">
        <v>0</v>
      </c>
      <c r="F976" s="83" t="b">
        <v>0</v>
      </c>
      <c r="G976" s="83" t="b">
        <v>0</v>
      </c>
    </row>
    <row r="977" spans="1:7" ht="15">
      <c r="A977" s="84" t="s">
        <v>1476</v>
      </c>
      <c r="B977" s="83">
        <v>2</v>
      </c>
      <c r="C977" s="110">
        <v>0.009055588566593262</v>
      </c>
      <c r="D977" s="83" t="s">
        <v>1380</v>
      </c>
      <c r="E977" s="83" t="b">
        <v>0</v>
      </c>
      <c r="F977" s="83" t="b">
        <v>0</v>
      </c>
      <c r="G977" s="83" t="b">
        <v>0</v>
      </c>
    </row>
    <row r="978" spans="1:7" ht="15">
      <c r="A978" s="84" t="s">
        <v>1771</v>
      </c>
      <c r="B978" s="83">
        <v>2</v>
      </c>
      <c r="C978" s="110">
        <v>0.009055588566593262</v>
      </c>
      <c r="D978" s="83" t="s">
        <v>1380</v>
      </c>
      <c r="E978" s="83" t="b">
        <v>0</v>
      </c>
      <c r="F978" s="83" t="b">
        <v>0</v>
      </c>
      <c r="G978" s="83" t="b">
        <v>0</v>
      </c>
    </row>
    <row r="979" spans="1:7" ht="15">
      <c r="A979" s="84" t="s">
        <v>1493</v>
      </c>
      <c r="B979" s="83">
        <v>2</v>
      </c>
      <c r="C979" s="110">
        <v>0.009055588566593262</v>
      </c>
      <c r="D979" s="83" t="s">
        <v>1380</v>
      </c>
      <c r="E979" s="83" t="b">
        <v>1</v>
      </c>
      <c r="F979" s="83" t="b">
        <v>0</v>
      </c>
      <c r="G979" s="83" t="b">
        <v>0</v>
      </c>
    </row>
    <row r="980" spans="1:7" ht="15">
      <c r="A980" s="84" t="s">
        <v>1553</v>
      </c>
      <c r="B980" s="83">
        <v>2</v>
      </c>
      <c r="C980" s="110">
        <v>0.009055588566593262</v>
      </c>
      <c r="D980" s="83" t="s">
        <v>1380</v>
      </c>
      <c r="E980" s="83" t="b">
        <v>0</v>
      </c>
      <c r="F980" s="83" t="b">
        <v>0</v>
      </c>
      <c r="G980" s="83" t="b">
        <v>0</v>
      </c>
    </row>
    <row r="981" spans="1:7" ht="15">
      <c r="A981" s="84" t="s">
        <v>1773</v>
      </c>
      <c r="B981" s="83">
        <v>2</v>
      </c>
      <c r="C981" s="110">
        <v>0.011673240702801792</v>
      </c>
      <c r="D981" s="83" t="s">
        <v>1380</v>
      </c>
      <c r="E981" s="83" t="b">
        <v>0</v>
      </c>
      <c r="F981" s="83" t="b">
        <v>0</v>
      </c>
      <c r="G981" s="83" t="b">
        <v>0</v>
      </c>
    </row>
    <row r="982" spans="1:7" ht="15">
      <c r="A982" s="84" t="s">
        <v>1596</v>
      </c>
      <c r="B982" s="83">
        <v>2</v>
      </c>
      <c r="C982" s="110">
        <v>0.011673240702801792</v>
      </c>
      <c r="D982" s="83" t="s">
        <v>1380</v>
      </c>
      <c r="E982" s="83" t="b">
        <v>0</v>
      </c>
      <c r="F982" s="83" t="b">
        <v>0</v>
      </c>
      <c r="G982" s="83" t="b">
        <v>0</v>
      </c>
    </row>
    <row r="983" spans="1:7" ht="15">
      <c r="A983" s="84" t="s">
        <v>1780</v>
      </c>
      <c r="B983" s="83">
        <v>2</v>
      </c>
      <c r="C983" s="110">
        <v>0.009055588566593262</v>
      </c>
      <c r="D983" s="83" t="s">
        <v>1380</v>
      </c>
      <c r="E983" s="83" t="b">
        <v>0</v>
      </c>
      <c r="F983" s="83" t="b">
        <v>0</v>
      </c>
      <c r="G983" s="83" t="b">
        <v>0</v>
      </c>
    </row>
    <row r="984" spans="1:7" ht="15">
      <c r="A984" s="84" t="s">
        <v>1781</v>
      </c>
      <c r="B984" s="83">
        <v>2</v>
      </c>
      <c r="C984" s="110">
        <v>0.009055588566593262</v>
      </c>
      <c r="D984" s="83" t="s">
        <v>1380</v>
      </c>
      <c r="E984" s="83" t="b">
        <v>0</v>
      </c>
      <c r="F984" s="83" t="b">
        <v>0</v>
      </c>
      <c r="G984" s="83" t="b">
        <v>0</v>
      </c>
    </row>
    <row r="985" spans="1:7" ht="15">
      <c r="A985" s="84" t="s">
        <v>1782</v>
      </c>
      <c r="B985" s="83">
        <v>2</v>
      </c>
      <c r="C985" s="110">
        <v>0.009055588566593262</v>
      </c>
      <c r="D985" s="83" t="s">
        <v>1380</v>
      </c>
      <c r="E985" s="83" t="b">
        <v>0</v>
      </c>
      <c r="F985" s="83" t="b">
        <v>0</v>
      </c>
      <c r="G985" s="83" t="b">
        <v>0</v>
      </c>
    </row>
    <row r="986" spans="1:7" ht="15">
      <c r="A986" s="84" t="s">
        <v>1485</v>
      </c>
      <c r="B986" s="83">
        <v>2</v>
      </c>
      <c r="C986" s="110">
        <v>0.009055588566593262</v>
      </c>
      <c r="D986" s="83" t="s">
        <v>1380</v>
      </c>
      <c r="E986" s="83" t="b">
        <v>0</v>
      </c>
      <c r="F986" s="83" t="b">
        <v>0</v>
      </c>
      <c r="G986" s="83" t="b">
        <v>0</v>
      </c>
    </row>
    <row r="987" spans="1:7" ht="15">
      <c r="A987" s="84" t="s">
        <v>1866</v>
      </c>
      <c r="B987" s="83">
        <v>2</v>
      </c>
      <c r="C987" s="110">
        <v>0.009055588566593262</v>
      </c>
      <c r="D987" s="83" t="s">
        <v>1380</v>
      </c>
      <c r="E987" s="83" t="b">
        <v>1</v>
      </c>
      <c r="F987" s="83" t="b">
        <v>0</v>
      </c>
      <c r="G987" s="83" t="b">
        <v>0</v>
      </c>
    </row>
    <row r="988" spans="1:7" ht="15">
      <c r="A988" s="84" t="s">
        <v>1867</v>
      </c>
      <c r="B988" s="83">
        <v>2</v>
      </c>
      <c r="C988" s="110">
        <v>0.009055588566593262</v>
      </c>
      <c r="D988" s="83" t="s">
        <v>1380</v>
      </c>
      <c r="E988" s="83" t="b">
        <v>0</v>
      </c>
      <c r="F988" s="83" t="b">
        <v>0</v>
      </c>
      <c r="G988" s="83" t="b">
        <v>0</v>
      </c>
    </row>
    <row r="989" spans="1:7" ht="15">
      <c r="A989" s="84" t="s">
        <v>1868</v>
      </c>
      <c r="B989" s="83">
        <v>2</v>
      </c>
      <c r="C989" s="110">
        <v>0.009055588566593262</v>
      </c>
      <c r="D989" s="83" t="s">
        <v>1380</v>
      </c>
      <c r="E989" s="83" t="b">
        <v>0</v>
      </c>
      <c r="F989" s="83" t="b">
        <v>0</v>
      </c>
      <c r="G989" s="83" t="b">
        <v>0</v>
      </c>
    </row>
    <row r="990" spans="1:7" ht="15">
      <c r="A990" s="84" t="s">
        <v>1869</v>
      </c>
      <c r="B990" s="83">
        <v>2</v>
      </c>
      <c r="C990" s="110">
        <v>0.009055588566593262</v>
      </c>
      <c r="D990" s="83" t="s">
        <v>1380</v>
      </c>
      <c r="E990" s="83" t="b">
        <v>0</v>
      </c>
      <c r="F990" s="83" t="b">
        <v>0</v>
      </c>
      <c r="G990" s="83" t="b">
        <v>0</v>
      </c>
    </row>
    <row r="991" spans="1:7" ht="15">
      <c r="A991" s="84" t="s">
        <v>1870</v>
      </c>
      <c r="B991" s="83">
        <v>2</v>
      </c>
      <c r="C991" s="110">
        <v>0.009055588566593262</v>
      </c>
      <c r="D991" s="83" t="s">
        <v>1380</v>
      </c>
      <c r="E991" s="83" t="b">
        <v>0</v>
      </c>
      <c r="F991" s="83" t="b">
        <v>0</v>
      </c>
      <c r="G991" s="83" t="b">
        <v>0</v>
      </c>
    </row>
    <row r="992" spans="1:7" ht="15">
      <c r="A992" s="84" t="s">
        <v>1675</v>
      </c>
      <c r="B992" s="83">
        <v>2</v>
      </c>
      <c r="C992" s="110">
        <v>0.009055588566593262</v>
      </c>
      <c r="D992" s="83" t="s">
        <v>1380</v>
      </c>
      <c r="E992" s="83" t="b">
        <v>0</v>
      </c>
      <c r="F992" s="83" t="b">
        <v>0</v>
      </c>
      <c r="G992" s="83" t="b">
        <v>0</v>
      </c>
    </row>
    <row r="993" spans="1:7" ht="15">
      <c r="A993" s="84" t="s">
        <v>1693</v>
      </c>
      <c r="B993" s="83">
        <v>2</v>
      </c>
      <c r="C993" s="110">
        <v>0.009055588566593262</v>
      </c>
      <c r="D993" s="83" t="s">
        <v>1380</v>
      </c>
      <c r="E993" s="83" t="b">
        <v>0</v>
      </c>
      <c r="F993" s="83" t="b">
        <v>0</v>
      </c>
      <c r="G993" s="83" t="b">
        <v>0</v>
      </c>
    </row>
    <row r="994" spans="1:7" ht="15">
      <c r="A994" s="84" t="s">
        <v>1871</v>
      </c>
      <c r="B994" s="83">
        <v>2</v>
      </c>
      <c r="C994" s="110">
        <v>0.009055588566593262</v>
      </c>
      <c r="D994" s="83" t="s">
        <v>1380</v>
      </c>
      <c r="E994" s="83" t="b">
        <v>0</v>
      </c>
      <c r="F994" s="83" t="b">
        <v>0</v>
      </c>
      <c r="G994" s="83" t="b">
        <v>0</v>
      </c>
    </row>
    <row r="995" spans="1:7" ht="15">
      <c r="A995" s="84" t="s">
        <v>1872</v>
      </c>
      <c r="B995" s="83">
        <v>2</v>
      </c>
      <c r="C995" s="110">
        <v>0.009055588566593262</v>
      </c>
      <c r="D995" s="83" t="s">
        <v>1380</v>
      </c>
      <c r="E995" s="83" t="b">
        <v>0</v>
      </c>
      <c r="F995" s="83" t="b">
        <v>0</v>
      </c>
      <c r="G995" s="83" t="b">
        <v>0</v>
      </c>
    </row>
    <row r="996" spans="1:7" ht="15">
      <c r="A996" s="84" t="s">
        <v>1873</v>
      </c>
      <c r="B996" s="83">
        <v>2</v>
      </c>
      <c r="C996" s="110">
        <v>0.009055588566593262</v>
      </c>
      <c r="D996" s="83" t="s">
        <v>1380</v>
      </c>
      <c r="E996" s="83" t="b">
        <v>0</v>
      </c>
      <c r="F996" s="83" t="b">
        <v>0</v>
      </c>
      <c r="G996" s="83" t="b">
        <v>0</v>
      </c>
    </row>
    <row r="997" spans="1:7" ht="15">
      <c r="A997" s="84" t="s">
        <v>1874</v>
      </c>
      <c r="B997" s="83">
        <v>2</v>
      </c>
      <c r="C997" s="110">
        <v>0.009055588566593262</v>
      </c>
      <c r="D997" s="83" t="s">
        <v>1380</v>
      </c>
      <c r="E997" s="83" t="b">
        <v>0</v>
      </c>
      <c r="F997" s="83" t="b">
        <v>0</v>
      </c>
      <c r="G997" s="83" t="b">
        <v>0</v>
      </c>
    </row>
    <row r="998" spans="1:7" ht="15">
      <c r="A998" s="84" t="s">
        <v>1514</v>
      </c>
      <c r="B998" s="83">
        <v>2</v>
      </c>
      <c r="C998" s="110">
        <v>0.009055588566593262</v>
      </c>
      <c r="D998" s="83" t="s">
        <v>1380</v>
      </c>
      <c r="E998" s="83" t="b">
        <v>0</v>
      </c>
      <c r="F998" s="83" t="b">
        <v>0</v>
      </c>
      <c r="G998" s="83" t="b">
        <v>0</v>
      </c>
    </row>
    <row r="999" spans="1:7" ht="15">
      <c r="A999" s="84" t="s">
        <v>1433</v>
      </c>
      <c r="B999" s="83">
        <v>2</v>
      </c>
      <c r="C999" s="110">
        <v>0.009055588566593262</v>
      </c>
      <c r="D999" s="83" t="s">
        <v>1380</v>
      </c>
      <c r="E999" s="83" t="b">
        <v>0</v>
      </c>
      <c r="F999" s="83" t="b">
        <v>0</v>
      </c>
      <c r="G999" s="83" t="b">
        <v>0</v>
      </c>
    </row>
    <row r="1000" spans="1:7" ht="15">
      <c r="A1000" s="84" t="s">
        <v>1430</v>
      </c>
      <c r="B1000" s="83">
        <v>2</v>
      </c>
      <c r="C1000" s="110">
        <v>0.011673240702801792</v>
      </c>
      <c r="D1000" s="83" t="s">
        <v>1380</v>
      </c>
      <c r="E1000" s="83" t="b">
        <v>0</v>
      </c>
      <c r="F1000" s="83" t="b">
        <v>0</v>
      </c>
      <c r="G1000" s="83" t="b">
        <v>0</v>
      </c>
    </row>
    <row r="1001" spans="1:7" ht="15">
      <c r="A1001" s="84" t="s">
        <v>1466</v>
      </c>
      <c r="B1001" s="83">
        <v>2</v>
      </c>
      <c r="C1001" s="110">
        <v>0.009055588566593262</v>
      </c>
      <c r="D1001" s="83" t="s">
        <v>1380</v>
      </c>
      <c r="E1001" s="83" t="b">
        <v>0</v>
      </c>
      <c r="F1001" s="83" t="b">
        <v>0</v>
      </c>
      <c r="G1001" s="83" t="b">
        <v>0</v>
      </c>
    </row>
    <row r="1002" spans="1:7" ht="15">
      <c r="A1002" s="84" t="s">
        <v>1439</v>
      </c>
      <c r="B1002" s="83">
        <v>14</v>
      </c>
      <c r="C1002" s="110">
        <v>0.030874871350151916</v>
      </c>
      <c r="D1002" s="83" t="s">
        <v>1381</v>
      </c>
      <c r="E1002" s="83" t="b">
        <v>1</v>
      </c>
      <c r="F1002" s="83" t="b">
        <v>0</v>
      </c>
      <c r="G1002" s="83" t="b">
        <v>0</v>
      </c>
    </row>
    <row r="1003" spans="1:7" ht="15">
      <c r="A1003" s="84" t="s">
        <v>1468</v>
      </c>
      <c r="B1003" s="83">
        <v>10</v>
      </c>
      <c r="C1003" s="110">
        <v>0.016379415067480557</v>
      </c>
      <c r="D1003" s="83" t="s">
        <v>1381</v>
      </c>
      <c r="E1003" s="83" t="b">
        <v>0</v>
      </c>
      <c r="F1003" s="83" t="b">
        <v>0</v>
      </c>
      <c r="G1003" s="83" t="b">
        <v>0</v>
      </c>
    </row>
    <row r="1004" spans="1:7" ht="15">
      <c r="A1004" s="84" t="s">
        <v>1473</v>
      </c>
      <c r="B1004" s="83">
        <v>8</v>
      </c>
      <c r="C1004" s="110">
        <v>0.021924923868313562</v>
      </c>
      <c r="D1004" s="83" t="s">
        <v>1381</v>
      </c>
      <c r="E1004" s="83" t="b">
        <v>0</v>
      </c>
      <c r="F1004" s="83" t="b">
        <v>0</v>
      </c>
      <c r="G1004" s="83" t="b">
        <v>0</v>
      </c>
    </row>
    <row r="1005" spans="1:7" ht="15">
      <c r="A1005" s="84" t="s">
        <v>1482</v>
      </c>
      <c r="B1005" s="83">
        <v>7</v>
      </c>
      <c r="C1005" s="110">
        <v>0.015437435675075958</v>
      </c>
      <c r="D1005" s="83" t="s">
        <v>1381</v>
      </c>
      <c r="E1005" s="83" t="b">
        <v>0</v>
      </c>
      <c r="F1005" s="83" t="b">
        <v>0</v>
      </c>
      <c r="G1005" s="83" t="b">
        <v>0</v>
      </c>
    </row>
    <row r="1006" spans="1:7" ht="15">
      <c r="A1006" s="84" t="s">
        <v>1509</v>
      </c>
      <c r="B1006" s="83">
        <v>7</v>
      </c>
      <c r="C1006" s="110">
        <v>0.015437435675075958</v>
      </c>
      <c r="D1006" s="83" t="s">
        <v>1381</v>
      </c>
      <c r="E1006" s="83" t="b">
        <v>1</v>
      </c>
      <c r="F1006" s="83" t="b">
        <v>0</v>
      </c>
      <c r="G1006" s="83" t="b">
        <v>0</v>
      </c>
    </row>
    <row r="1007" spans="1:7" ht="15">
      <c r="A1007" s="84" t="s">
        <v>1461</v>
      </c>
      <c r="B1007" s="83">
        <v>7</v>
      </c>
      <c r="C1007" s="110">
        <v>0.015437435675075958</v>
      </c>
      <c r="D1007" s="83" t="s">
        <v>1381</v>
      </c>
      <c r="E1007" s="83" t="b">
        <v>1</v>
      </c>
      <c r="F1007" s="83" t="b">
        <v>0</v>
      </c>
      <c r="G1007" s="83" t="b">
        <v>0</v>
      </c>
    </row>
    <row r="1008" spans="1:7" ht="15">
      <c r="A1008" s="84" t="s">
        <v>1483</v>
      </c>
      <c r="B1008" s="83">
        <v>7</v>
      </c>
      <c r="C1008" s="110">
        <v>0.015437435675075958</v>
      </c>
      <c r="D1008" s="83" t="s">
        <v>1381</v>
      </c>
      <c r="E1008" s="83" t="b">
        <v>0</v>
      </c>
      <c r="F1008" s="83" t="b">
        <v>0</v>
      </c>
      <c r="G1008" s="83" t="b">
        <v>0</v>
      </c>
    </row>
    <row r="1009" spans="1:7" ht="15">
      <c r="A1009" s="84" t="s">
        <v>1510</v>
      </c>
      <c r="B1009" s="83">
        <v>7</v>
      </c>
      <c r="C1009" s="110">
        <v>0.015437435675075958</v>
      </c>
      <c r="D1009" s="83" t="s">
        <v>1381</v>
      </c>
      <c r="E1009" s="83" t="b">
        <v>0</v>
      </c>
      <c r="F1009" s="83" t="b">
        <v>0</v>
      </c>
      <c r="G1009" s="83" t="b">
        <v>0</v>
      </c>
    </row>
    <row r="1010" spans="1:7" ht="15">
      <c r="A1010" s="84" t="s">
        <v>1428</v>
      </c>
      <c r="B1010" s="83">
        <v>7</v>
      </c>
      <c r="C1010" s="110">
        <v>0.019184308384774366</v>
      </c>
      <c r="D1010" s="83" t="s">
        <v>1381</v>
      </c>
      <c r="E1010" s="83" t="b">
        <v>0</v>
      </c>
      <c r="F1010" s="83" t="b">
        <v>0</v>
      </c>
      <c r="G1010" s="83" t="b">
        <v>0</v>
      </c>
    </row>
    <row r="1011" spans="1:7" ht="15">
      <c r="A1011" s="84" t="s">
        <v>1475</v>
      </c>
      <c r="B1011" s="83">
        <v>6</v>
      </c>
      <c r="C1011" s="110">
        <v>0.01470344573535331</v>
      </c>
      <c r="D1011" s="83" t="s">
        <v>1381</v>
      </c>
      <c r="E1011" s="83" t="b">
        <v>0</v>
      </c>
      <c r="F1011" s="83" t="b">
        <v>0</v>
      </c>
      <c r="G1011" s="83" t="b">
        <v>0</v>
      </c>
    </row>
    <row r="1012" spans="1:7" ht="15">
      <c r="A1012" s="84" t="s">
        <v>1491</v>
      </c>
      <c r="B1012" s="83">
        <v>6</v>
      </c>
      <c r="C1012" s="110">
        <v>0.01470344573535331</v>
      </c>
      <c r="D1012" s="83" t="s">
        <v>1381</v>
      </c>
      <c r="E1012" s="83" t="b">
        <v>0</v>
      </c>
      <c r="F1012" s="83" t="b">
        <v>0</v>
      </c>
      <c r="G1012" s="83" t="b">
        <v>0</v>
      </c>
    </row>
    <row r="1013" spans="1:7" ht="15">
      <c r="A1013" s="84" t="s">
        <v>1528</v>
      </c>
      <c r="B1013" s="83">
        <v>6</v>
      </c>
      <c r="C1013" s="110">
        <v>0.01470344573535331</v>
      </c>
      <c r="D1013" s="83" t="s">
        <v>1381</v>
      </c>
      <c r="E1013" s="83" t="b">
        <v>0</v>
      </c>
      <c r="F1013" s="83" t="b">
        <v>0</v>
      </c>
      <c r="G1013" s="83" t="b">
        <v>0</v>
      </c>
    </row>
    <row r="1014" spans="1:7" ht="15">
      <c r="A1014" s="84" t="s">
        <v>1492</v>
      </c>
      <c r="B1014" s="83">
        <v>6</v>
      </c>
      <c r="C1014" s="110">
        <v>0.01470344573535331</v>
      </c>
      <c r="D1014" s="83" t="s">
        <v>1381</v>
      </c>
      <c r="E1014" s="83" t="b">
        <v>0</v>
      </c>
      <c r="F1014" s="83" t="b">
        <v>1</v>
      </c>
      <c r="G1014" s="83" t="b">
        <v>0</v>
      </c>
    </row>
    <row r="1015" spans="1:7" ht="15">
      <c r="A1015" s="84" t="s">
        <v>1345</v>
      </c>
      <c r="B1015" s="83">
        <v>4</v>
      </c>
      <c r="C1015" s="110">
        <v>0.016793084771842316</v>
      </c>
      <c r="D1015" s="83" t="s">
        <v>1381</v>
      </c>
      <c r="E1015" s="83" t="b">
        <v>0</v>
      </c>
      <c r="F1015" s="83" t="b">
        <v>0</v>
      </c>
      <c r="G1015" s="83" t="b">
        <v>0</v>
      </c>
    </row>
    <row r="1016" spans="1:7" ht="15">
      <c r="A1016" s="84" t="s">
        <v>1484</v>
      </c>
      <c r="B1016" s="83">
        <v>3</v>
      </c>
      <c r="C1016" s="110">
        <v>0.010659744798050076</v>
      </c>
      <c r="D1016" s="83" t="s">
        <v>1381</v>
      </c>
      <c r="E1016" s="83" t="b">
        <v>1</v>
      </c>
      <c r="F1016" s="83" t="b">
        <v>0</v>
      </c>
      <c r="G1016" s="83" t="b">
        <v>0</v>
      </c>
    </row>
    <row r="1017" spans="1:7" ht="15">
      <c r="A1017" s="84" t="s">
        <v>1590</v>
      </c>
      <c r="B1017" s="83">
        <v>3</v>
      </c>
      <c r="C1017" s="110">
        <v>0.010659744798050076</v>
      </c>
      <c r="D1017" s="83" t="s">
        <v>1381</v>
      </c>
      <c r="E1017" s="83" t="b">
        <v>0</v>
      </c>
      <c r="F1017" s="83" t="b">
        <v>0</v>
      </c>
      <c r="G1017" s="83" t="b">
        <v>0</v>
      </c>
    </row>
    <row r="1018" spans="1:7" ht="15">
      <c r="A1018" s="84" t="s">
        <v>1647</v>
      </c>
      <c r="B1018" s="83">
        <v>3</v>
      </c>
      <c r="C1018" s="110">
        <v>0.010659744798050076</v>
      </c>
      <c r="D1018" s="83" t="s">
        <v>1381</v>
      </c>
      <c r="E1018" s="83" t="b">
        <v>0</v>
      </c>
      <c r="F1018" s="83" t="b">
        <v>0</v>
      </c>
      <c r="G1018" s="83" t="b">
        <v>0</v>
      </c>
    </row>
    <row r="1019" spans="1:7" ht="15">
      <c r="A1019" s="84" t="s">
        <v>1525</v>
      </c>
      <c r="B1019" s="83">
        <v>3</v>
      </c>
      <c r="C1019" s="110">
        <v>0.015902835509255156</v>
      </c>
      <c r="D1019" s="83" t="s">
        <v>1381</v>
      </c>
      <c r="E1019" s="83" t="b">
        <v>0</v>
      </c>
      <c r="F1019" s="83" t="b">
        <v>0</v>
      </c>
      <c r="G1019" s="83" t="b">
        <v>0</v>
      </c>
    </row>
    <row r="1020" spans="1:7" ht="15">
      <c r="A1020" s="84" t="s">
        <v>1429</v>
      </c>
      <c r="B1020" s="83">
        <v>3</v>
      </c>
      <c r="C1020" s="110">
        <v>0.012594813578881738</v>
      </c>
      <c r="D1020" s="83" t="s">
        <v>1381</v>
      </c>
      <c r="E1020" s="83" t="b">
        <v>0</v>
      </c>
      <c r="F1020" s="83" t="b">
        <v>0</v>
      </c>
      <c r="G1020" s="83" t="b">
        <v>0</v>
      </c>
    </row>
    <row r="1021" spans="1:7" ht="15">
      <c r="A1021" s="84" t="s">
        <v>1761</v>
      </c>
      <c r="B1021" s="83">
        <v>3</v>
      </c>
      <c r="C1021" s="110">
        <v>0.015902835509255156</v>
      </c>
      <c r="D1021" s="83" t="s">
        <v>1381</v>
      </c>
      <c r="E1021" s="83" t="b">
        <v>0</v>
      </c>
      <c r="F1021" s="83" t="b">
        <v>0</v>
      </c>
      <c r="G1021" s="83" t="b">
        <v>0</v>
      </c>
    </row>
    <row r="1022" spans="1:7" ht="15">
      <c r="A1022" s="84" t="s">
        <v>1713</v>
      </c>
      <c r="B1022" s="83">
        <v>3</v>
      </c>
      <c r="C1022" s="110">
        <v>0.012594813578881738</v>
      </c>
      <c r="D1022" s="83" t="s">
        <v>1381</v>
      </c>
      <c r="E1022" s="83" t="b">
        <v>0</v>
      </c>
      <c r="F1022" s="83" t="b">
        <v>0</v>
      </c>
      <c r="G1022" s="83" t="b">
        <v>0</v>
      </c>
    </row>
    <row r="1023" spans="1:7" ht="15">
      <c r="A1023" s="84" t="s">
        <v>1711</v>
      </c>
      <c r="B1023" s="83">
        <v>3</v>
      </c>
      <c r="C1023" s="110">
        <v>0.010659744798050076</v>
      </c>
      <c r="D1023" s="83" t="s">
        <v>1381</v>
      </c>
      <c r="E1023" s="83" t="b">
        <v>0</v>
      </c>
      <c r="F1023" s="83" t="b">
        <v>0</v>
      </c>
      <c r="G1023" s="83" t="b">
        <v>0</v>
      </c>
    </row>
    <row r="1024" spans="1:7" ht="15">
      <c r="A1024" s="84" t="s">
        <v>1622</v>
      </c>
      <c r="B1024" s="83">
        <v>2</v>
      </c>
      <c r="C1024" s="110">
        <v>0.010601890339503437</v>
      </c>
      <c r="D1024" s="83" t="s">
        <v>1381</v>
      </c>
      <c r="E1024" s="83" t="b">
        <v>0</v>
      </c>
      <c r="F1024" s="83" t="b">
        <v>0</v>
      </c>
      <c r="G1024" s="83" t="b">
        <v>0</v>
      </c>
    </row>
    <row r="1025" spans="1:7" ht="15">
      <c r="A1025" s="84" t="s">
        <v>1504</v>
      </c>
      <c r="B1025" s="83">
        <v>2</v>
      </c>
      <c r="C1025" s="110">
        <v>0.010601890339503437</v>
      </c>
      <c r="D1025" s="83" t="s">
        <v>1381</v>
      </c>
      <c r="E1025" s="83" t="b">
        <v>0</v>
      </c>
      <c r="F1025" s="83" t="b">
        <v>0</v>
      </c>
      <c r="G1025" s="83" t="b">
        <v>0</v>
      </c>
    </row>
    <row r="1026" spans="1:7" ht="15">
      <c r="A1026" s="84" t="s">
        <v>1446</v>
      </c>
      <c r="B1026" s="83">
        <v>2</v>
      </c>
      <c r="C1026" s="110">
        <v>0.010601890339503437</v>
      </c>
      <c r="D1026" s="83" t="s">
        <v>1381</v>
      </c>
      <c r="E1026" s="83" t="b">
        <v>0</v>
      </c>
      <c r="F1026" s="83" t="b">
        <v>0</v>
      </c>
      <c r="G1026" s="83" t="b">
        <v>0</v>
      </c>
    </row>
    <row r="1027" spans="1:7" ht="15">
      <c r="A1027" s="84" t="s">
        <v>1894</v>
      </c>
      <c r="B1027" s="83">
        <v>2</v>
      </c>
      <c r="C1027" s="110">
        <v>0.010601890339503437</v>
      </c>
      <c r="D1027" s="83" t="s">
        <v>1381</v>
      </c>
      <c r="E1027" s="83" t="b">
        <v>0</v>
      </c>
      <c r="F1027" s="83" t="b">
        <v>0</v>
      </c>
      <c r="G1027" s="83" t="b">
        <v>0</v>
      </c>
    </row>
    <row r="1028" spans="1:7" ht="15">
      <c r="A1028" s="84" t="s">
        <v>1712</v>
      </c>
      <c r="B1028" s="83">
        <v>2</v>
      </c>
      <c r="C1028" s="110">
        <v>0.010601890339503437</v>
      </c>
      <c r="D1028" s="83" t="s">
        <v>1381</v>
      </c>
      <c r="E1028" s="83" t="b">
        <v>0</v>
      </c>
      <c r="F1028" s="83" t="b">
        <v>0</v>
      </c>
      <c r="G1028" s="83" t="b">
        <v>0</v>
      </c>
    </row>
    <row r="1029" spans="1:7" ht="15">
      <c r="A1029" s="84" t="s">
        <v>1895</v>
      </c>
      <c r="B1029" s="83">
        <v>2</v>
      </c>
      <c r="C1029" s="110">
        <v>0.010601890339503437</v>
      </c>
      <c r="D1029" s="83" t="s">
        <v>1381</v>
      </c>
      <c r="E1029" s="83" t="b">
        <v>0</v>
      </c>
      <c r="F1029" s="83" t="b">
        <v>0</v>
      </c>
      <c r="G1029" s="83" t="b">
        <v>0</v>
      </c>
    </row>
    <row r="1030" spans="1:7" ht="15">
      <c r="A1030" s="84" t="s">
        <v>1498</v>
      </c>
      <c r="B1030" s="83">
        <v>2</v>
      </c>
      <c r="C1030" s="110">
        <v>0.010601890339503437</v>
      </c>
      <c r="D1030" s="83" t="s">
        <v>1381</v>
      </c>
      <c r="E1030" s="83" t="b">
        <v>0</v>
      </c>
      <c r="F1030" s="83" t="b">
        <v>0</v>
      </c>
      <c r="G1030" s="83" t="b">
        <v>0</v>
      </c>
    </row>
    <row r="1031" spans="1:7" ht="15">
      <c r="A1031" s="84" t="s">
        <v>1896</v>
      </c>
      <c r="B1031" s="83">
        <v>2</v>
      </c>
      <c r="C1031" s="110">
        <v>0.010601890339503437</v>
      </c>
      <c r="D1031" s="83" t="s">
        <v>1381</v>
      </c>
      <c r="E1031" s="83" t="b">
        <v>0</v>
      </c>
      <c r="F1031" s="83" t="b">
        <v>0</v>
      </c>
      <c r="G1031" s="83" t="b">
        <v>0</v>
      </c>
    </row>
    <row r="1032" spans="1:7" ht="15">
      <c r="A1032" s="84" t="s">
        <v>1707</v>
      </c>
      <c r="B1032" s="83">
        <v>2</v>
      </c>
      <c r="C1032" s="110">
        <v>0.010601890339503437</v>
      </c>
      <c r="D1032" s="83" t="s">
        <v>1381</v>
      </c>
      <c r="E1032" s="83" t="b">
        <v>0</v>
      </c>
      <c r="F1032" s="83" t="b">
        <v>0</v>
      </c>
      <c r="G1032" s="83" t="b">
        <v>0</v>
      </c>
    </row>
    <row r="1033" spans="1:7" ht="15">
      <c r="A1033" s="84" t="s">
        <v>2049</v>
      </c>
      <c r="B1033" s="83">
        <v>2</v>
      </c>
      <c r="C1033" s="110">
        <v>0.010601890339503437</v>
      </c>
      <c r="D1033" s="83" t="s">
        <v>1381</v>
      </c>
      <c r="E1033" s="83" t="b">
        <v>0</v>
      </c>
      <c r="F1033" s="83" t="b">
        <v>0</v>
      </c>
      <c r="G1033" s="83" t="b">
        <v>0</v>
      </c>
    </row>
    <row r="1034" spans="1:7" ht="15">
      <c r="A1034" s="84" t="s">
        <v>1481</v>
      </c>
      <c r="B1034" s="83">
        <v>2</v>
      </c>
      <c r="C1034" s="110">
        <v>0.010601890339503437</v>
      </c>
      <c r="D1034" s="83" t="s">
        <v>1381</v>
      </c>
      <c r="E1034" s="83" t="b">
        <v>0</v>
      </c>
      <c r="F1034" s="83" t="b">
        <v>0</v>
      </c>
      <c r="G1034" s="83" t="b">
        <v>0</v>
      </c>
    </row>
    <row r="1035" spans="1:7" ht="15">
      <c r="A1035" s="84" t="s">
        <v>1670</v>
      </c>
      <c r="B1035" s="83">
        <v>2</v>
      </c>
      <c r="C1035" s="110">
        <v>0.010601890339503437</v>
      </c>
      <c r="D1035" s="83" t="s">
        <v>1381</v>
      </c>
      <c r="E1035" s="83" t="b">
        <v>0</v>
      </c>
      <c r="F1035" s="83" t="b">
        <v>0</v>
      </c>
      <c r="G1035" s="83" t="b">
        <v>0</v>
      </c>
    </row>
    <row r="1036" spans="1:7" ht="15">
      <c r="A1036" s="84" t="s">
        <v>2050</v>
      </c>
      <c r="B1036" s="83">
        <v>2</v>
      </c>
      <c r="C1036" s="110">
        <v>0.010601890339503437</v>
      </c>
      <c r="D1036" s="83" t="s">
        <v>1381</v>
      </c>
      <c r="E1036" s="83" t="b">
        <v>0</v>
      </c>
      <c r="F1036" s="83" t="b">
        <v>0</v>
      </c>
      <c r="G1036" s="83" t="b">
        <v>0</v>
      </c>
    </row>
    <row r="1037" spans="1:7" ht="15">
      <c r="A1037" s="84" t="s">
        <v>2051</v>
      </c>
      <c r="B1037" s="83">
        <v>2</v>
      </c>
      <c r="C1037" s="110">
        <v>0.010601890339503437</v>
      </c>
      <c r="D1037" s="83" t="s">
        <v>1381</v>
      </c>
      <c r="E1037" s="83" t="b">
        <v>0</v>
      </c>
      <c r="F1037" s="83" t="b">
        <v>0</v>
      </c>
      <c r="G1037" s="83" t="b">
        <v>0</v>
      </c>
    </row>
    <row r="1038" spans="1:7" ht="15">
      <c r="A1038" s="84" t="s">
        <v>1544</v>
      </c>
      <c r="B1038" s="83">
        <v>2</v>
      </c>
      <c r="C1038" s="110">
        <v>0.010601890339503437</v>
      </c>
      <c r="D1038" s="83" t="s">
        <v>1381</v>
      </c>
      <c r="E1038" s="83" t="b">
        <v>0</v>
      </c>
      <c r="F1038" s="83" t="b">
        <v>0</v>
      </c>
      <c r="G1038" s="83" t="b">
        <v>0</v>
      </c>
    </row>
    <row r="1039" spans="1:7" ht="15">
      <c r="A1039" s="84" t="s">
        <v>1465</v>
      </c>
      <c r="B1039" s="83">
        <v>2</v>
      </c>
      <c r="C1039" s="110">
        <v>0.010601890339503437</v>
      </c>
      <c r="D1039" s="83" t="s">
        <v>1381</v>
      </c>
      <c r="E1039" s="83" t="b">
        <v>0</v>
      </c>
      <c r="F1039" s="83" t="b">
        <v>0</v>
      </c>
      <c r="G1039" s="83" t="b">
        <v>0</v>
      </c>
    </row>
    <row r="1040" spans="1:7" ht="15">
      <c r="A1040" s="84" t="s">
        <v>2046</v>
      </c>
      <c r="B1040" s="83">
        <v>2</v>
      </c>
      <c r="C1040" s="110">
        <v>0.010601890339503437</v>
      </c>
      <c r="D1040" s="83" t="s">
        <v>1381</v>
      </c>
      <c r="E1040" s="83" t="b">
        <v>0</v>
      </c>
      <c r="F1040" s="83" t="b">
        <v>0</v>
      </c>
      <c r="G1040" s="83" t="b">
        <v>0</v>
      </c>
    </row>
    <row r="1041" spans="1:7" ht="15">
      <c r="A1041" s="84" t="s">
        <v>2047</v>
      </c>
      <c r="B1041" s="83">
        <v>2</v>
      </c>
      <c r="C1041" s="110">
        <v>0.010601890339503437</v>
      </c>
      <c r="D1041" s="83" t="s">
        <v>1381</v>
      </c>
      <c r="E1041" s="83" t="b">
        <v>0</v>
      </c>
      <c r="F1041" s="83" t="b">
        <v>0</v>
      </c>
      <c r="G1041" s="83" t="b">
        <v>0</v>
      </c>
    </row>
    <row r="1042" spans="1:7" ht="15">
      <c r="A1042" s="84" t="s">
        <v>2048</v>
      </c>
      <c r="B1042" s="83">
        <v>2</v>
      </c>
      <c r="C1042" s="110">
        <v>0.010601890339503437</v>
      </c>
      <c r="D1042" s="83" t="s">
        <v>1381</v>
      </c>
      <c r="E1042" s="83" t="b">
        <v>0</v>
      </c>
      <c r="F1042" s="83" t="b">
        <v>0</v>
      </c>
      <c r="G1042" s="83" t="b">
        <v>0</v>
      </c>
    </row>
    <row r="1043" spans="1:7" ht="15">
      <c r="A1043" s="84" t="s">
        <v>1455</v>
      </c>
      <c r="B1043" s="83">
        <v>2</v>
      </c>
      <c r="C1043" s="110">
        <v>0.008396542385921158</v>
      </c>
      <c r="D1043" s="83" t="s">
        <v>1381</v>
      </c>
      <c r="E1043" s="83" t="b">
        <v>0</v>
      </c>
      <c r="F1043" s="83" t="b">
        <v>0</v>
      </c>
      <c r="G1043" s="83" t="b">
        <v>0</v>
      </c>
    </row>
    <row r="1044" spans="1:7" ht="15">
      <c r="A1044" s="84" t="s">
        <v>1899</v>
      </c>
      <c r="B1044" s="83">
        <v>2</v>
      </c>
      <c r="C1044" s="110">
        <v>0.008396542385921158</v>
      </c>
      <c r="D1044" s="83" t="s">
        <v>1381</v>
      </c>
      <c r="E1044" s="83" t="b">
        <v>0</v>
      </c>
      <c r="F1044" s="83" t="b">
        <v>0</v>
      </c>
      <c r="G1044" s="83" t="b">
        <v>0</v>
      </c>
    </row>
    <row r="1045" spans="1:7" ht="15">
      <c r="A1045" s="84" t="s">
        <v>1901</v>
      </c>
      <c r="B1045" s="83">
        <v>2</v>
      </c>
      <c r="C1045" s="110">
        <v>0.010601890339503437</v>
      </c>
      <c r="D1045" s="83" t="s">
        <v>1381</v>
      </c>
      <c r="E1045" s="83" t="b">
        <v>0</v>
      </c>
      <c r="F1045" s="83" t="b">
        <v>0</v>
      </c>
      <c r="G1045" s="83" t="b">
        <v>0</v>
      </c>
    </row>
    <row r="1046" spans="1:7" ht="15">
      <c r="A1046" s="84" t="s">
        <v>1902</v>
      </c>
      <c r="B1046" s="83">
        <v>2</v>
      </c>
      <c r="C1046" s="110">
        <v>0.010601890339503437</v>
      </c>
      <c r="D1046" s="83" t="s">
        <v>1381</v>
      </c>
      <c r="E1046" s="83" t="b">
        <v>0</v>
      </c>
      <c r="F1046" s="83" t="b">
        <v>0</v>
      </c>
      <c r="G1046" s="83" t="b">
        <v>0</v>
      </c>
    </row>
    <row r="1047" spans="1:7" ht="15">
      <c r="A1047" s="84" t="s">
        <v>1443</v>
      </c>
      <c r="B1047" s="83">
        <v>11</v>
      </c>
      <c r="C1047" s="110">
        <v>0.017678460947706972</v>
      </c>
      <c r="D1047" s="83" t="s">
        <v>1382</v>
      </c>
      <c r="E1047" s="83" t="b">
        <v>0</v>
      </c>
      <c r="F1047" s="83" t="b">
        <v>0</v>
      </c>
      <c r="G1047" s="83" t="b">
        <v>0</v>
      </c>
    </row>
    <row r="1048" spans="1:7" ht="15">
      <c r="A1048" s="84" t="s">
        <v>1490</v>
      </c>
      <c r="B1048" s="83">
        <v>9</v>
      </c>
      <c r="C1048" s="110">
        <v>0.008869969136256147</v>
      </c>
      <c r="D1048" s="83" t="s">
        <v>1382</v>
      </c>
      <c r="E1048" s="83" t="b">
        <v>0</v>
      </c>
      <c r="F1048" s="83" t="b">
        <v>0</v>
      </c>
      <c r="G1048" s="83" t="b">
        <v>0</v>
      </c>
    </row>
    <row r="1049" spans="1:7" ht="15">
      <c r="A1049" s="84" t="s">
        <v>1543</v>
      </c>
      <c r="B1049" s="83">
        <v>6</v>
      </c>
      <c r="C1049" s="110">
        <v>0.006940629222423994</v>
      </c>
      <c r="D1049" s="83" t="s">
        <v>1382</v>
      </c>
      <c r="E1049" s="83" t="b">
        <v>0</v>
      </c>
      <c r="F1049" s="83" t="b">
        <v>0</v>
      </c>
      <c r="G1049" s="83" t="b">
        <v>0</v>
      </c>
    </row>
    <row r="1050" spans="1:7" ht="15">
      <c r="A1050" s="84" t="s">
        <v>1581</v>
      </c>
      <c r="B1050" s="83">
        <v>5</v>
      </c>
      <c r="C1050" s="110">
        <v>0.011885152502740316</v>
      </c>
      <c r="D1050" s="83" t="s">
        <v>1382</v>
      </c>
      <c r="E1050" s="83" t="b">
        <v>0</v>
      </c>
      <c r="F1050" s="83" t="b">
        <v>0</v>
      </c>
      <c r="G1050" s="83" t="b">
        <v>0</v>
      </c>
    </row>
    <row r="1051" spans="1:7" ht="15">
      <c r="A1051" s="84" t="s">
        <v>1633</v>
      </c>
      <c r="B1051" s="83">
        <v>4</v>
      </c>
      <c r="C1051" s="110">
        <v>0.006428531253711627</v>
      </c>
      <c r="D1051" s="83" t="s">
        <v>1382</v>
      </c>
      <c r="E1051" s="83" t="b">
        <v>0</v>
      </c>
      <c r="F1051" s="83" t="b">
        <v>0</v>
      </c>
      <c r="G1051" s="83" t="b">
        <v>0</v>
      </c>
    </row>
    <row r="1052" spans="1:7" ht="15">
      <c r="A1052" s="84" t="s">
        <v>1634</v>
      </c>
      <c r="B1052" s="83">
        <v>4</v>
      </c>
      <c r="C1052" s="110">
        <v>0.0077066768967632895</v>
      </c>
      <c r="D1052" s="83" t="s">
        <v>1382</v>
      </c>
      <c r="E1052" s="83" t="b">
        <v>0</v>
      </c>
      <c r="F1052" s="83" t="b">
        <v>0</v>
      </c>
      <c r="G1052" s="83" t="b">
        <v>0</v>
      </c>
    </row>
    <row r="1053" spans="1:7" ht="15">
      <c r="A1053" s="84" t="s">
        <v>1635</v>
      </c>
      <c r="B1053" s="83">
        <v>4</v>
      </c>
      <c r="C1053" s="110">
        <v>0.006428531253711627</v>
      </c>
      <c r="D1053" s="83" t="s">
        <v>1382</v>
      </c>
      <c r="E1053" s="83" t="b">
        <v>0</v>
      </c>
      <c r="F1053" s="83" t="b">
        <v>0</v>
      </c>
      <c r="G1053" s="83" t="b">
        <v>0</v>
      </c>
    </row>
    <row r="1054" spans="1:7" ht="15">
      <c r="A1054" s="84" t="s">
        <v>1441</v>
      </c>
      <c r="B1054" s="83">
        <v>4</v>
      </c>
      <c r="C1054" s="110">
        <v>0.012587712750672879</v>
      </c>
      <c r="D1054" s="83" t="s">
        <v>1382</v>
      </c>
      <c r="E1054" s="83" t="b">
        <v>0</v>
      </c>
      <c r="F1054" s="83" t="b">
        <v>0</v>
      </c>
      <c r="G1054" s="83" t="b">
        <v>0</v>
      </c>
    </row>
    <row r="1055" spans="1:7" ht="15">
      <c r="A1055" s="84" t="s">
        <v>1488</v>
      </c>
      <c r="B1055" s="83">
        <v>4</v>
      </c>
      <c r="C1055" s="110">
        <v>0.012587712750672879</v>
      </c>
      <c r="D1055" s="83" t="s">
        <v>1382</v>
      </c>
      <c r="E1055" s="83" t="b">
        <v>0</v>
      </c>
      <c r="F1055" s="83" t="b">
        <v>0</v>
      </c>
      <c r="G1055" s="83" t="b">
        <v>0</v>
      </c>
    </row>
    <row r="1056" spans="1:7" ht="15">
      <c r="A1056" s="84" t="s">
        <v>1637</v>
      </c>
      <c r="B1056" s="83">
        <v>4</v>
      </c>
      <c r="C1056" s="110">
        <v>0.006428531253711627</v>
      </c>
      <c r="D1056" s="83" t="s">
        <v>1382</v>
      </c>
      <c r="E1056" s="83" t="b">
        <v>0</v>
      </c>
      <c r="F1056" s="83" t="b">
        <v>0</v>
      </c>
      <c r="G1056" s="83" t="b">
        <v>0</v>
      </c>
    </row>
    <row r="1057" spans="1:7" ht="15">
      <c r="A1057" s="84" t="s">
        <v>1428</v>
      </c>
      <c r="B1057" s="83">
        <v>4</v>
      </c>
      <c r="C1057" s="110">
        <v>0.012587712750672879</v>
      </c>
      <c r="D1057" s="83" t="s">
        <v>1382</v>
      </c>
      <c r="E1057" s="83" t="b">
        <v>0</v>
      </c>
      <c r="F1057" s="83" t="b">
        <v>0</v>
      </c>
      <c r="G1057" s="83" t="b">
        <v>0</v>
      </c>
    </row>
    <row r="1058" spans="1:7" ht="15">
      <c r="A1058" s="84" t="s">
        <v>1721</v>
      </c>
      <c r="B1058" s="83">
        <v>3</v>
      </c>
      <c r="C1058" s="110">
        <v>0.005780007672572467</v>
      </c>
      <c r="D1058" s="83" t="s">
        <v>1382</v>
      </c>
      <c r="E1058" s="83" t="b">
        <v>0</v>
      </c>
      <c r="F1058" s="83" t="b">
        <v>0</v>
      </c>
      <c r="G1058" s="83" t="b">
        <v>0</v>
      </c>
    </row>
    <row r="1059" spans="1:7" ht="15">
      <c r="A1059" s="84" t="s">
        <v>1724</v>
      </c>
      <c r="B1059" s="83">
        <v>3</v>
      </c>
      <c r="C1059" s="110">
        <v>0.00713109150164419</v>
      </c>
      <c r="D1059" s="83" t="s">
        <v>1382</v>
      </c>
      <c r="E1059" s="83" t="b">
        <v>0</v>
      </c>
      <c r="F1059" s="83" t="b">
        <v>0</v>
      </c>
      <c r="G1059" s="83" t="b">
        <v>0</v>
      </c>
    </row>
    <row r="1060" spans="1:7" ht="15">
      <c r="A1060" s="84" t="s">
        <v>1722</v>
      </c>
      <c r="B1060" s="83">
        <v>3</v>
      </c>
      <c r="C1060" s="110">
        <v>0.00713109150164419</v>
      </c>
      <c r="D1060" s="83" t="s">
        <v>1382</v>
      </c>
      <c r="E1060" s="83" t="b">
        <v>0</v>
      </c>
      <c r="F1060" s="83" t="b">
        <v>0</v>
      </c>
      <c r="G1060" s="83" t="b">
        <v>0</v>
      </c>
    </row>
    <row r="1061" spans="1:7" ht="15">
      <c r="A1061" s="84" t="s">
        <v>1725</v>
      </c>
      <c r="B1061" s="83">
        <v>3</v>
      </c>
      <c r="C1061" s="110">
        <v>0.00713109150164419</v>
      </c>
      <c r="D1061" s="83" t="s">
        <v>1382</v>
      </c>
      <c r="E1061" s="83" t="b">
        <v>0</v>
      </c>
      <c r="F1061" s="83" t="b">
        <v>0</v>
      </c>
      <c r="G1061" s="83" t="b">
        <v>0</v>
      </c>
    </row>
    <row r="1062" spans="1:7" ht="15">
      <c r="A1062" s="84" t="s">
        <v>1726</v>
      </c>
      <c r="B1062" s="83">
        <v>3</v>
      </c>
      <c r="C1062" s="110">
        <v>0.005780007672572467</v>
      </c>
      <c r="D1062" s="83" t="s">
        <v>1382</v>
      </c>
      <c r="E1062" s="83" t="b">
        <v>0</v>
      </c>
      <c r="F1062" s="83" t="b">
        <v>0</v>
      </c>
      <c r="G1062" s="83" t="b">
        <v>0</v>
      </c>
    </row>
    <row r="1063" spans="1:7" ht="15">
      <c r="A1063" s="84" t="s">
        <v>1723</v>
      </c>
      <c r="B1063" s="83">
        <v>3</v>
      </c>
      <c r="C1063" s="110">
        <v>0.005780007672572467</v>
      </c>
      <c r="D1063" s="83" t="s">
        <v>1382</v>
      </c>
      <c r="E1063" s="83" t="b">
        <v>0</v>
      </c>
      <c r="F1063" s="83" t="b">
        <v>0</v>
      </c>
      <c r="G1063" s="83" t="b">
        <v>0</v>
      </c>
    </row>
    <row r="1064" spans="1:7" ht="15">
      <c r="A1064" s="84" t="s">
        <v>1727</v>
      </c>
      <c r="B1064" s="83">
        <v>3</v>
      </c>
      <c r="C1064" s="110">
        <v>0.005780007672572467</v>
      </c>
      <c r="D1064" s="83" t="s">
        <v>1382</v>
      </c>
      <c r="E1064" s="83" t="b">
        <v>0</v>
      </c>
      <c r="F1064" s="83" t="b">
        <v>0</v>
      </c>
      <c r="G1064" s="83" t="b">
        <v>0</v>
      </c>
    </row>
    <row r="1065" spans="1:7" ht="15">
      <c r="A1065" s="84" t="s">
        <v>1430</v>
      </c>
      <c r="B1065" s="83">
        <v>3</v>
      </c>
      <c r="C1065" s="110">
        <v>0.005780007672572467</v>
      </c>
      <c r="D1065" s="83" t="s">
        <v>1382</v>
      </c>
      <c r="E1065" s="83" t="b">
        <v>0</v>
      </c>
      <c r="F1065" s="83" t="b">
        <v>0</v>
      </c>
      <c r="G1065" s="83" t="b">
        <v>0</v>
      </c>
    </row>
    <row r="1066" spans="1:7" ht="15">
      <c r="A1066" s="84" t="s">
        <v>1923</v>
      </c>
      <c r="B1066" s="83">
        <v>2</v>
      </c>
      <c r="C1066" s="110">
        <v>0.004754061001096127</v>
      </c>
      <c r="D1066" s="83" t="s">
        <v>1382</v>
      </c>
      <c r="E1066" s="83" t="b">
        <v>0</v>
      </c>
      <c r="F1066" s="83" t="b">
        <v>0</v>
      </c>
      <c r="G1066" s="83" t="b">
        <v>0</v>
      </c>
    </row>
    <row r="1067" spans="1:7" ht="15">
      <c r="A1067" s="84" t="s">
        <v>1925</v>
      </c>
      <c r="B1067" s="83">
        <v>2</v>
      </c>
      <c r="C1067" s="110">
        <v>0.004754061001096127</v>
      </c>
      <c r="D1067" s="83" t="s">
        <v>1382</v>
      </c>
      <c r="E1067" s="83" t="b">
        <v>0</v>
      </c>
      <c r="F1067" s="83" t="b">
        <v>0</v>
      </c>
      <c r="G1067" s="83" t="b">
        <v>0</v>
      </c>
    </row>
    <row r="1068" spans="1:7" ht="15">
      <c r="A1068" s="84" t="s">
        <v>1926</v>
      </c>
      <c r="B1068" s="83">
        <v>2</v>
      </c>
      <c r="C1068" s="110">
        <v>0.004754061001096127</v>
      </c>
      <c r="D1068" s="83" t="s">
        <v>1382</v>
      </c>
      <c r="E1068" s="83" t="b">
        <v>0</v>
      </c>
      <c r="F1068" s="83" t="b">
        <v>0</v>
      </c>
      <c r="G1068" s="83" t="b">
        <v>0</v>
      </c>
    </row>
    <row r="1069" spans="1:7" ht="15">
      <c r="A1069" s="84" t="s">
        <v>1927</v>
      </c>
      <c r="B1069" s="83">
        <v>2</v>
      </c>
      <c r="C1069" s="110">
        <v>0.004754061001096127</v>
      </c>
      <c r="D1069" s="83" t="s">
        <v>1382</v>
      </c>
      <c r="E1069" s="83" t="b">
        <v>0</v>
      </c>
      <c r="F1069" s="83" t="b">
        <v>0</v>
      </c>
      <c r="G1069" s="83" t="b">
        <v>0</v>
      </c>
    </row>
    <row r="1070" spans="1:7" ht="15">
      <c r="A1070" s="84" t="s">
        <v>1928</v>
      </c>
      <c r="B1070" s="83">
        <v>2</v>
      </c>
      <c r="C1070" s="110">
        <v>0.004754061001096127</v>
      </c>
      <c r="D1070" s="83" t="s">
        <v>1382</v>
      </c>
      <c r="E1070" s="83" t="b">
        <v>0</v>
      </c>
      <c r="F1070" s="83" t="b">
        <v>0</v>
      </c>
      <c r="G1070" s="83" t="b">
        <v>0</v>
      </c>
    </row>
    <row r="1071" spans="1:7" ht="15">
      <c r="A1071" s="84" t="s">
        <v>1929</v>
      </c>
      <c r="B1071" s="83">
        <v>2</v>
      </c>
      <c r="C1071" s="110">
        <v>0.004754061001096127</v>
      </c>
      <c r="D1071" s="83" t="s">
        <v>1382</v>
      </c>
      <c r="E1071" s="83" t="b">
        <v>0</v>
      </c>
      <c r="F1071" s="83" t="b">
        <v>0</v>
      </c>
      <c r="G1071" s="83" t="b">
        <v>0</v>
      </c>
    </row>
    <row r="1072" spans="1:7" ht="15">
      <c r="A1072" s="84" t="s">
        <v>1930</v>
      </c>
      <c r="B1072" s="83">
        <v>2</v>
      </c>
      <c r="C1072" s="110">
        <v>0.004754061001096127</v>
      </c>
      <c r="D1072" s="83" t="s">
        <v>1382</v>
      </c>
      <c r="E1072" s="83" t="b">
        <v>0</v>
      </c>
      <c r="F1072" s="83" t="b">
        <v>0</v>
      </c>
      <c r="G1072" s="83" t="b">
        <v>0</v>
      </c>
    </row>
    <row r="1073" spans="1:7" ht="15">
      <c r="A1073" s="84" t="s">
        <v>1931</v>
      </c>
      <c r="B1073" s="83">
        <v>2</v>
      </c>
      <c r="C1073" s="110">
        <v>0.004754061001096127</v>
      </c>
      <c r="D1073" s="83" t="s">
        <v>1382</v>
      </c>
      <c r="E1073" s="83" t="b">
        <v>0</v>
      </c>
      <c r="F1073" s="83" t="b">
        <v>0</v>
      </c>
      <c r="G1073" s="83" t="b">
        <v>0</v>
      </c>
    </row>
    <row r="1074" spans="1:7" ht="15">
      <c r="A1074" s="84" t="s">
        <v>1932</v>
      </c>
      <c r="B1074" s="83">
        <v>2</v>
      </c>
      <c r="C1074" s="110">
        <v>0.004754061001096127</v>
      </c>
      <c r="D1074" s="83" t="s">
        <v>1382</v>
      </c>
      <c r="E1074" s="83" t="b">
        <v>0</v>
      </c>
      <c r="F1074" s="83" t="b">
        <v>0</v>
      </c>
      <c r="G1074" s="83" t="b">
        <v>0</v>
      </c>
    </row>
    <row r="1075" spans="1:7" ht="15">
      <c r="A1075" s="84" t="s">
        <v>1933</v>
      </c>
      <c r="B1075" s="83">
        <v>2</v>
      </c>
      <c r="C1075" s="110">
        <v>0.004754061001096127</v>
      </c>
      <c r="D1075" s="83" t="s">
        <v>1382</v>
      </c>
      <c r="E1075" s="83" t="b">
        <v>0</v>
      </c>
      <c r="F1075" s="83" t="b">
        <v>0</v>
      </c>
      <c r="G1075" s="83" t="b">
        <v>0</v>
      </c>
    </row>
    <row r="1076" spans="1:7" ht="15">
      <c r="A1076" s="84" t="s">
        <v>1934</v>
      </c>
      <c r="B1076" s="83">
        <v>2</v>
      </c>
      <c r="C1076" s="110">
        <v>0.004754061001096127</v>
      </c>
      <c r="D1076" s="83" t="s">
        <v>1382</v>
      </c>
      <c r="E1076" s="83" t="b">
        <v>0</v>
      </c>
      <c r="F1076" s="83" t="b">
        <v>0</v>
      </c>
      <c r="G1076" s="83" t="b">
        <v>0</v>
      </c>
    </row>
    <row r="1077" spans="1:7" ht="15">
      <c r="A1077" s="84" t="s">
        <v>1935</v>
      </c>
      <c r="B1077" s="83">
        <v>2</v>
      </c>
      <c r="C1077" s="110">
        <v>0.0062938563753364395</v>
      </c>
      <c r="D1077" s="83" t="s">
        <v>1382</v>
      </c>
      <c r="E1077" s="83" t="b">
        <v>0</v>
      </c>
      <c r="F1077" s="83" t="b">
        <v>0</v>
      </c>
      <c r="G1077" s="83" t="b">
        <v>0</v>
      </c>
    </row>
    <row r="1078" spans="1:7" ht="15">
      <c r="A1078" s="84" t="s">
        <v>1936</v>
      </c>
      <c r="B1078" s="83">
        <v>2</v>
      </c>
      <c r="C1078" s="110">
        <v>0.0062938563753364395</v>
      </c>
      <c r="D1078" s="83" t="s">
        <v>1382</v>
      </c>
      <c r="E1078" s="83" t="b">
        <v>0</v>
      </c>
      <c r="F1078" s="83" t="b">
        <v>0</v>
      </c>
      <c r="G1078" s="83" t="b">
        <v>0</v>
      </c>
    </row>
    <row r="1079" spans="1:7" ht="15">
      <c r="A1079" s="84" t="s">
        <v>1636</v>
      </c>
      <c r="B1079" s="83">
        <v>2</v>
      </c>
      <c r="C1079" s="110">
        <v>0.0062938563753364395</v>
      </c>
      <c r="D1079" s="83" t="s">
        <v>1382</v>
      </c>
      <c r="E1079" s="83" t="b">
        <v>0</v>
      </c>
      <c r="F1079" s="83" t="b">
        <v>0</v>
      </c>
      <c r="G1079" s="83" t="b">
        <v>0</v>
      </c>
    </row>
    <row r="1080" spans="1:7" ht="15">
      <c r="A1080" s="84" t="s">
        <v>1937</v>
      </c>
      <c r="B1080" s="83">
        <v>2</v>
      </c>
      <c r="C1080" s="110">
        <v>0.0062938563753364395</v>
      </c>
      <c r="D1080" s="83" t="s">
        <v>1382</v>
      </c>
      <c r="E1080" s="83" t="b">
        <v>0</v>
      </c>
      <c r="F1080" s="83" t="b">
        <v>0</v>
      </c>
      <c r="G1080" s="83" t="b">
        <v>0</v>
      </c>
    </row>
    <row r="1081" spans="1:7" ht="15">
      <c r="A1081" s="84" t="s">
        <v>1938</v>
      </c>
      <c r="B1081" s="83">
        <v>2</v>
      </c>
      <c r="C1081" s="110">
        <v>0.0062938563753364395</v>
      </c>
      <c r="D1081" s="83" t="s">
        <v>1382</v>
      </c>
      <c r="E1081" s="83" t="b">
        <v>0</v>
      </c>
      <c r="F1081" s="83" t="b">
        <v>0</v>
      </c>
      <c r="G1081" s="83" t="b">
        <v>0</v>
      </c>
    </row>
    <row r="1082" spans="1:7" ht="15">
      <c r="A1082" s="84" t="s">
        <v>1506</v>
      </c>
      <c r="B1082" s="83">
        <v>2</v>
      </c>
      <c r="C1082" s="110">
        <v>0.0062938563753364395</v>
      </c>
      <c r="D1082" s="83" t="s">
        <v>1382</v>
      </c>
      <c r="E1082" s="83" t="b">
        <v>0</v>
      </c>
      <c r="F1082" s="83" t="b">
        <v>0</v>
      </c>
      <c r="G1082" s="83" t="b">
        <v>0</v>
      </c>
    </row>
    <row r="1083" spans="1:7" ht="15">
      <c r="A1083" s="84" t="s">
        <v>1481</v>
      </c>
      <c r="B1083" s="83">
        <v>2</v>
      </c>
      <c r="C1083" s="110">
        <v>0.0062938563753364395</v>
      </c>
      <c r="D1083" s="83" t="s">
        <v>1382</v>
      </c>
      <c r="E1083" s="83" t="b">
        <v>0</v>
      </c>
      <c r="F1083" s="83" t="b">
        <v>0</v>
      </c>
      <c r="G1083" s="83" t="b">
        <v>0</v>
      </c>
    </row>
    <row r="1084" spans="1:7" ht="15">
      <c r="A1084" s="84" t="s">
        <v>1450</v>
      </c>
      <c r="B1084" s="83">
        <v>2</v>
      </c>
      <c r="C1084" s="110">
        <v>0.0062938563753364395</v>
      </c>
      <c r="D1084" s="83" t="s">
        <v>1382</v>
      </c>
      <c r="E1084" s="83" t="b">
        <v>0</v>
      </c>
      <c r="F1084" s="83" t="b">
        <v>0</v>
      </c>
      <c r="G1084" s="83" t="b">
        <v>0</v>
      </c>
    </row>
    <row r="1085" spans="1:7" ht="15">
      <c r="A1085" s="84" t="s">
        <v>1939</v>
      </c>
      <c r="B1085" s="83">
        <v>2</v>
      </c>
      <c r="C1085" s="110">
        <v>0.0062938563753364395</v>
      </c>
      <c r="D1085" s="83" t="s">
        <v>1382</v>
      </c>
      <c r="E1085" s="83" t="b">
        <v>0</v>
      </c>
      <c r="F1085" s="83" t="b">
        <v>0</v>
      </c>
      <c r="G1085" s="83" t="b">
        <v>0</v>
      </c>
    </row>
    <row r="1086" spans="1:7" ht="15">
      <c r="A1086" s="84" t="s">
        <v>1558</v>
      </c>
      <c r="B1086" s="83">
        <v>2</v>
      </c>
      <c r="C1086" s="110">
        <v>0.0062938563753364395</v>
      </c>
      <c r="D1086" s="83" t="s">
        <v>1382</v>
      </c>
      <c r="E1086" s="83" t="b">
        <v>0</v>
      </c>
      <c r="F1086" s="83" t="b">
        <v>0</v>
      </c>
      <c r="G1086" s="83" t="b">
        <v>0</v>
      </c>
    </row>
    <row r="1087" spans="1:7" ht="15">
      <c r="A1087" s="84" t="s">
        <v>1544</v>
      </c>
      <c r="B1087" s="83">
        <v>2</v>
      </c>
      <c r="C1087" s="110">
        <v>0.0062938563753364395</v>
      </c>
      <c r="D1087" s="83" t="s">
        <v>1382</v>
      </c>
      <c r="E1087" s="83" t="b">
        <v>0</v>
      </c>
      <c r="F1087" s="83" t="b">
        <v>0</v>
      </c>
      <c r="G1087" s="83" t="b">
        <v>0</v>
      </c>
    </row>
    <row r="1088" spans="1:7" ht="15">
      <c r="A1088" s="84" t="s">
        <v>1465</v>
      </c>
      <c r="B1088" s="83">
        <v>2</v>
      </c>
      <c r="C1088" s="110">
        <v>0.0062938563753364395</v>
      </c>
      <c r="D1088" s="83" t="s">
        <v>1382</v>
      </c>
      <c r="E1088" s="83" t="b">
        <v>0</v>
      </c>
      <c r="F1088" s="83" t="b">
        <v>0</v>
      </c>
      <c r="G1088" s="83" t="b">
        <v>0</v>
      </c>
    </row>
    <row r="1089" spans="1:7" ht="15">
      <c r="A1089" s="84" t="s">
        <v>1924</v>
      </c>
      <c r="B1089" s="83">
        <v>2</v>
      </c>
      <c r="C1089" s="110">
        <v>0.004754061001096127</v>
      </c>
      <c r="D1089" s="83" t="s">
        <v>1382</v>
      </c>
      <c r="E1089" s="83" t="b">
        <v>0</v>
      </c>
      <c r="F1089" s="83" t="b">
        <v>0</v>
      </c>
      <c r="G1089" s="83" t="b">
        <v>0</v>
      </c>
    </row>
    <row r="1090" spans="1:7" ht="15">
      <c r="A1090" s="84" t="s">
        <v>1940</v>
      </c>
      <c r="B1090" s="83">
        <v>2</v>
      </c>
      <c r="C1090" s="110">
        <v>0.004754061001096127</v>
      </c>
      <c r="D1090" s="83" t="s">
        <v>1382</v>
      </c>
      <c r="E1090" s="83" t="b">
        <v>0</v>
      </c>
      <c r="F1090" s="83" t="b">
        <v>0</v>
      </c>
      <c r="G1090" s="83" t="b">
        <v>0</v>
      </c>
    </row>
    <row r="1091" spans="1:7" ht="15">
      <c r="A1091" s="84" t="s">
        <v>1941</v>
      </c>
      <c r="B1091" s="83">
        <v>2</v>
      </c>
      <c r="C1091" s="110">
        <v>0.004754061001096127</v>
      </c>
      <c r="D1091" s="83" t="s">
        <v>1382</v>
      </c>
      <c r="E1091" s="83" t="b">
        <v>0</v>
      </c>
      <c r="F1091" s="83" t="b">
        <v>0</v>
      </c>
      <c r="G1091" s="83" t="b">
        <v>0</v>
      </c>
    </row>
    <row r="1092" spans="1:7" ht="15">
      <c r="A1092" s="84" t="s">
        <v>1943</v>
      </c>
      <c r="B1092" s="83">
        <v>2</v>
      </c>
      <c r="C1092" s="110">
        <v>0.004754061001096127</v>
      </c>
      <c r="D1092" s="83" t="s">
        <v>1382</v>
      </c>
      <c r="E1092" s="83" t="b">
        <v>0</v>
      </c>
      <c r="F1092" s="83" t="b">
        <v>0</v>
      </c>
      <c r="G1092" s="83" t="b">
        <v>0</v>
      </c>
    </row>
    <row r="1093" spans="1:7" ht="15">
      <c r="A1093" s="84" t="s">
        <v>1944</v>
      </c>
      <c r="B1093" s="83">
        <v>2</v>
      </c>
      <c r="C1093" s="110">
        <v>0.004754061001096127</v>
      </c>
      <c r="D1093" s="83" t="s">
        <v>1382</v>
      </c>
      <c r="E1093" s="83" t="b">
        <v>0</v>
      </c>
      <c r="F1093" s="83" t="b">
        <v>0</v>
      </c>
      <c r="G1093" s="83" t="b">
        <v>0</v>
      </c>
    </row>
    <row r="1094" spans="1:7" ht="15">
      <c r="A1094" s="84" t="s">
        <v>1945</v>
      </c>
      <c r="B1094" s="83">
        <v>2</v>
      </c>
      <c r="C1094" s="110">
        <v>0.004754061001096127</v>
      </c>
      <c r="D1094" s="83" t="s">
        <v>1382</v>
      </c>
      <c r="E1094" s="83" t="b">
        <v>0</v>
      </c>
      <c r="F1094" s="83" t="b">
        <v>0</v>
      </c>
      <c r="G1094" s="83" t="b">
        <v>0</v>
      </c>
    </row>
    <row r="1095" spans="1:7" ht="15">
      <c r="A1095" s="84" t="s">
        <v>1946</v>
      </c>
      <c r="B1095" s="83">
        <v>2</v>
      </c>
      <c r="C1095" s="110">
        <v>0.004754061001096127</v>
      </c>
      <c r="D1095" s="83" t="s">
        <v>1382</v>
      </c>
      <c r="E1095" s="83" t="b">
        <v>0</v>
      </c>
      <c r="F1095" s="83" t="b">
        <v>0</v>
      </c>
      <c r="G1095" s="83" t="b">
        <v>0</v>
      </c>
    </row>
    <row r="1096" spans="1:7" ht="15">
      <c r="A1096" s="84" t="s">
        <v>1947</v>
      </c>
      <c r="B1096" s="83">
        <v>2</v>
      </c>
      <c r="C1096" s="110">
        <v>0.004754061001096127</v>
      </c>
      <c r="D1096" s="83" t="s">
        <v>1382</v>
      </c>
      <c r="E1096" s="83" t="b">
        <v>0</v>
      </c>
      <c r="F1096" s="83" t="b">
        <v>0</v>
      </c>
      <c r="G1096" s="83" t="b">
        <v>0</v>
      </c>
    </row>
    <row r="1097" spans="1:7" ht="15">
      <c r="A1097" s="84" t="s">
        <v>1472</v>
      </c>
      <c r="B1097" s="83">
        <v>2</v>
      </c>
      <c r="C1097" s="110">
        <v>0.0062938563753364395</v>
      </c>
      <c r="D1097" s="83" t="s">
        <v>1382</v>
      </c>
      <c r="E1097" s="83" t="b">
        <v>0</v>
      </c>
      <c r="F1097" s="83" t="b">
        <v>0</v>
      </c>
      <c r="G1097" s="83" t="b">
        <v>0</v>
      </c>
    </row>
    <row r="1098" spans="1:7" ht="15">
      <c r="A1098" s="84" t="s">
        <v>1582</v>
      </c>
      <c r="B1098" s="83">
        <v>2</v>
      </c>
      <c r="C1098" s="110">
        <v>0.0062938563753364395</v>
      </c>
      <c r="D1098" s="83" t="s">
        <v>1382</v>
      </c>
      <c r="E1098" s="83" t="b">
        <v>0</v>
      </c>
      <c r="F1098" s="83" t="b">
        <v>0</v>
      </c>
      <c r="G1098" s="83" t="b">
        <v>0</v>
      </c>
    </row>
    <row r="1099" spans="1:7" ht="15">
      <c r="A1099" s="84" t="s">
        <v>1954</v>
      </c>
      <c r="B1099" s="83">
        <v>2</v>
      </c>
      <c r="C1099" s="110">
        <v>0.004754061001096127</v>
      </c>
      <c r="D1099" s="83" t="s">
        <v>1382</v>
      </c>
      <c r="E1099" s="83" t="b">
        <v>0</v>
      </c>
      <c r="F1099" s="83" t="b">
        <v>0</v>
      </c>
      <c r="G1099" s="83" t="b">
        <v>0</v>
      </c>
    </row>
    <row r="1100" spans="1:7" ht="15">
      <c r="A1100" s="84" t="s">
        <v>1955</v>
      </c>
      <c r="B1100" s="83">
        <v>2</v>
      </c>
      <c r="C1100" s="110">
        <v>0.004754061001096127</v>
      </c>
      <c r="D1100" s="83" t="s">
        <v>1382</v>
      </c>
      <c r="E1100" s="83" t="b">
        <v>0</v>
      </c>
      <c r="F1100" s="83" t="b">
        <v>0</v>
      </c>
      <c r="G1100" s="83" t="b">
        <v>0</v>
      </c>
    </row>
    <row r="1101" spans="1:7" ht="15">
      <c r="A1101" s="84" t="s">
        <v>1479</v>
      </c>
      <c r="B1101" s="83">
        <v>2</v>
      </c>
      <c r="C1101" s="110">
        <v>0.0062938563753364395</v>
      </c>
      <c r="D1101" s="83" t="s">
        <v>1382</v>
      </c>
      <c r="E1101" s="83" t="b">
        <v>0</v>
      </c>
      <c r="F1101" s="83" t="b">
        <v>0</v>
      </c>
      <c r="G1101" s="83" t="b">
        <v>0</v>
      </c>
    </row>
    <row r="1102" spans="1:7" ht="15">
      <c r="A1102" s="84" t="s">
        <v>1446</v>
      </c>
      <c r="B1102" s="83">
        <v>2</v>
      </c>
      <c r="C1102" s="110">
        <v>0.0062938563753364395</v>
      </c>
      <c r="D1102" s="83" t="s">
        <v>1382</v>
      </c>
      <c r="E1102" s="83" t="b">
        <v>0</v>
      </c>
      <c r="F1102" s="83" t="b">
        <v>0</v>
      </c>
      <c r="G1102" s="83" t="b">
        <v>0</v>
      </c>
    </row>
    <row r="1103" spans="1:7" ht="15">
      <c r="A1103" s="84" t="s">
        <v>1480</v>
      </c>
      <c r="B1103" s="83">
        <v>2</v>
      </c>
      <c r="C1103" s="110">
        <v>0.0062938563753364395</v>
      </c>
      <c r="D1103" s="83" t="s">
        <v>1382</v>
      </c>
      <c r="E1103" s="83" t="b">
        <v>0</v>
      </c>
      <c r="F1103" s="83" t="b">
        <v>0</v>
      </c>
      <c r="G1103" s="83" t="b">
        <v>0</v>
      </c>
    </row>
    <row r="1104" spans="1:7" ht="15">
      <c r="A1104" s="84" t="s">
        <v>1538</v>
      </c>
      <c r="B1104" s="83">
        <v>2</v>
      </c>
      <c r="C1104" s="110">
        <v>0.0062938563753364395</v>
      </c>
      <c r="D1104" s="83" t="s">
        <v>1382</v>
      </c>
      <c r="E1104" s="83" t="b">
        <v>0</v>
      </c>
      <c r="F1104" s="83" t="b">
        <v>0</v>
      </c>
      <c r="G1104" s="83" t="b">
        <v>0</v>
      </c>
    </row>
    <row r="1105" spans="1:7" ht="15">
      <c r="A1105" s="84" t="s">
        <v>1956</v>
      </c>
      <c r="B1105" s="83">
        <v>2</v>
      </c>
      <c r="C1105" s="110">
        <v>0.004754061001096127</v>
      </c>
      <c r="D1105" s="83" t="s">
        <v>1382</v>
      </c>
      <c r="E1105" s="83" t="b">
        <v>0</v>
      </c>
      <c r="F1105" s="83" t="b">
        <v>0</v>
      </c>
      <c r="G1105" s="83" t="b">
        <v>0</v>
      </c>
    </row>
    <row r="1106" spans="1:7" ht="15">
      <c r="A1106" s="84" t="s">
        <v>1522</v>
      </c>
      <c r="B1106" s="83">
        <v>2</v>
      </c>
      <c r="C1106" s="110">
        <v>0.0062938563753364395</v>
      </c>
      <c r="D1106" s="83" t="s">
        <v>1382</v>
      </c>
      <c r="E1106" s="83" t="b">
        <v>0</v>
      </c>
      <c r="F1106" s="83" t="b">
        <v>0</v>
      </c>
      <c r="G1106" s="83" t="b">
        <v>0</v>
      </c>
    </row>
    <row r="1107" spans="1:7" ht="15">
      <c r="A1107" s="84" t="s">
        <v>1437</v>
      </c>
      <c r="B1107" s="83">
        <v>2</v>
      </c>
      <c r="C1107" s="110">
        <v>0.0062938563753364395</v>
      </c>
      <c r="D1107" s="83" t="s">
        <v>1382</v>
      </c>
      <c r="E1107" s="83" t="b">
        <v>0</v>
      </c>
      <c r="F1107" s="83" t="b">
        <v>0</v>
      </c>
      <c r="G1107" s="83" t="b">
        <v>0</v>
      </c>
    </row>
    <row r="1108" spans="1:7" ht="15">
      <c r="A1108" s="84" t="s">
        <v>1957</v>
      </c>
      <c r="B1108" s="83">
        <v>2</v>
      </c>
      <c r="C1108" s="110">
        <v>0.0062938563753364395</v>
      </c>
      <c r="D1108" s="83" t="s">
        <v>1382</v>
      </c>
      <c r="E1108" s="83" t="b">
        <v>0</v>
      </c>
      <c r="F1108" s="83" t="b">
        <v>0</v>
      </c>
      <c r="G1108" s="83" t="b">
        <v>0</v>
      </c>
    </row>
    <row r="1109" spans="1:7" ht="15">
      <c r="A1109" s="84" t="s">
        <v>1958</v>
      </c>
      <c r="B1109" s="83">
        <v>2</v>
      </c>
      <c r="C1109" s="110">
        <v>0.0062938563753364395</v>
      </c>
      <c r="D1109" s="83" t="s">
        <v>1382</v>
      </c>
      <c r="E1109" s="83" t="b">
        <v>0</v>
      </c>
      <c r="F1109" s="83" t="b">
        <v>0</v>
      </c>
      <c r="G1109" s="83" t="b">
        <v>0</v>
      </c>
    </row>
    <row r="1110" spans="1:7" ht="15">
      <c r="A1110" s="84" t="s">
        <v>1959</v>
      </c>
      <c r="B1110" s="83">
        <v>2</v>
      </c>
      <c r="C1110" s="110">
        <v>0.0062938563753364395</v>
      </c>
      <c r="D1110" s="83" t="s">
        <v>1382</v>
      </c>
      <c r="E1110" s="83" t="b">
        <v>0</v>
      </c>
      <c r="F1110" s="83" t="b">
        <v>0</v>
      </c>
      <c r="G1110" s="83" t="b">
        <v>0</v>
      </c>
    </row>
    <row r="1111" spans="1:7" ht="15">
      <c r="A1111" s="84" t="s">
        <v>1960</v>
      </c>
      <c r="B1111" s="83">
        <v>2</v>
      </c>
      <c r="C1111" s="110">
        <v>0.0062938563753364395</v>
      </c>
      <c r="D1111" s="83" t="s">
        <v>1382</v>
      </c>
      <c r="E1111" s="83" t="b">
        <v>0</v>
      </c>
      <c r="F1111" s="83" t="b">
        <v>0</v>
      </c>
      <c r="G1111" s="83" t="b">
        <v>0</v>
      </c>
    </row>
    <row r="1112" spans="1:7" ht="15">
      <c r="A1112" s="84" t="s">
        <v>1546</v>
      </c>
      <c r="B1112" s="83">
        <v>2</v>
      </c>
      <c r="C1112" s="110">
        <v>0.0062938563753364395</v>
      </c>
      <c r="D1112" s="83" t="s">
        <v>1382</v>
      </c>
      <c r="E1112" s="83" t="b">
        <v>0</v>
      </c>
      <c r="F1112" s="83" t="b">
        <v>0</v>
      </c>
      <c r="G1112" s="83" t="b">
        <v>0</v>
      </c>
    </row>
    <row r="1113" spans="1:7" ht="15">
      <c r="A1113" s="84" t="s">
        <v>1961</v>
      </c>
      <c r="B1113" s="83">
        <v>2</v>
      </c>
      <c r="C1113" s="110">
        <v>0.004754061001096127</v>
      </c>
      <c r="D1113" s="83" t="s">
        <v>1382</v>
      </c>
      <c r="E1113" s="83" t="b">
        <v>0</v>
      </c>
      <c r="F1113" s="83" t="b">
        <v>0</v>
      </c>
      <c r="G1113" s="83" t="b">
        <v>0</v>
      </c>
    </row>
    <row r="1114" spans="1:7" ht="15">
      <c r="A1114" s="84" t="s">
        <v>1962</v>
      </c>
      <c r="B1114" s="83">
        <v>2</v>
      </c>
      <c r="C1114" s="110">
        <v>0.004754061001096127</v>
      </c>
      <c r="D1114" s="83" t="s">
        <v>1382</v>
      </c>
      <c r="E1114" s="83" t="b">
        <v>0</v>
      </c>
      <c r="F1114" s="83" t="b">
        <v>0</v>
      </c>
      <c r="G1114" s="83" t="b">
        <v>0</v>
      </c>
    </row>
    <row r="1115" spans="1:7" ht="15">
      <c r="A1115" s="84" t="s">
        <v>1963</v>
      </c>
      <c r="B1115" s="83">
        <v>2</v>
      </c>
      <c r="C1115" s="110">
        <v>0.004754061001096127</v>
      </c>
      <c r="D1115" s="83" t="s">
        <v>1382</v>
      </c>
      <c r="E1115" s="83" t="b">
        <v>0</v>
      </c>
      <c r="F1115" s="83" t="b">
        <v>0</v>
      </c>
      <c r="G1115" s="83" t="b">
        <v>0</v>
      </c>
    </row>
    <row r="1116" spans="1:7" ht="15">
      <c r="A1116" s="84" t="s">
        <v>1428</v>
      </c>
      <c r="B1116" s="83">
        <v>8</v>
      </c>
      <c r="C1116" s="110">
        <v>0.04106173919624722</v>
      </c>
      <c r="D1116" s="83" t="s">
        <v>1383</v>
      </c>
      <c r="E1116" s="83" t="b">
        <v>0</v>
      </c>
      <c r="F1116" s="83" t="b">
        <v>0</v>
      </c>
      <c r="G1116" s="83" t="b">
        <v>0</v>
      </c>
    </row>
    <row r="1117" spans="1:7" ht="15">
      <c r="A1117" s="84" t="s">
        <v>1429</v>
      </c>
      <c r="B1117" s="83">
        <v>5</v>
      </c>
      <c r="C1117" s="110">
        <v>0.03155692363012149</v>
      </c>
      <c r="D1117" s="83" t="s">
        <v>1383</v>
      </c>
      <c r="E1117" s="83" t="b">
        <v>0</v>
      </c>
      <c r="F1117" s="83" t="b">
        <v>0</v>
      </c>
      <c r="G1117" s="83" t="b">
        <v>0</v>
      </c>
    </row>
    <row r="1118" spans="1:7" ht="15">
      <c r="A1118" s="84" t="s">
        <v>1437</v>
      </c>
      <c r="B1118" s="83">
        <v>4</v>
      </c>
      <c r="C1118" s="110">
        <v>0.04325011455389577</v>
      </c>
      <c r="D1118" s="83" t="s">
        <v>1383</v>
      </c>
      <c r="E1118" s="83" t="b">
        <v>0</v>
      </c>
      <c r="F1118" s="83" t="b">
        <v>0</v>
      </c>
      <c r="G1118" s="83" t="b">
        <v>0</v>
      </c>
    </row>
    <row r="1119" spans="1:7" ht="15">
      <c r="A1119" s="84" t="s">
        <v>1632</v>
      </c>
      <c r="B1119" s="83">
        <v>4</v>
      </c>
      <c r="C1119" s="110">
        <v>0.04325011455389577</v>
      </c>
      <c r="D1119" s="83" t="s">
        <v>1383</v>
      </c>
      <c r="E1119" s="83" t="b">
        <v>0</v>
      </c>
      <c r="F1119" s="83" t="b">
        <v>0</v>
      </c>
      <c r="G1119" s="83" t="b">
        <v>0</v>
      </c>
    </row>
    <row r="1120" spans="1:7" ht="15">
      <c r="A1120" s="84" t="s">
        <v>1507</v>
      </c>
      <c r="B1120" s="83">
        <v>3</v>
      </c>
      <c r="C1120" s="110">
        <v>0.03243758591542183</v>
      </c>
      <c r="D1120" s="83" t="s">
        <v>1383</v>
      </c>
      <c r="E1120" s="83" t="b">
        <v>0</v>
      </c>
      <c r="F1120" s="83" t="b">
        <v>0</v>
      </c>
      <c r="G1120" s="83" t="b">
        <v>0</v>
      </c>
    </row>
    <row r="1121" spans="1:7" ht="15">
      <c r="A1121" s="84" t="s">
        <v>1638</v>
      </c>
      <c r="B1121" s="83">
        <v>3</v>
      </c>
      <c r="C1121" s="110">
        <v>0.03243758591542183</v>
      </c>
      <c r="D1121" s="83" t="s">
        <v>1383</v>
      </c>
      <c r="E1121" s="83" t="b">
        <v>0</v>
      </c>
      <c r="F1121" s="83" t="b">
        <v>0</v>
      </c>
      <c r="G1121" s="83" t="b">
        <v>0</v>
      </c>
    </row>
    <row r="1122" spans="1:7" ht="15">
      <c r="A1122" s="84" t="s">
        <v>2052</v>
      </c>
      <c r="B1122" s="83">
        <v>2</v>
      </c>
      <c r="C1122" s="110">
        <v>0.021625057276947884</v>
      </c>
      <c r="D1122" s="83" t="s">
        <v>1383</v>
      </c>
      <c r="E1122" s="83" t="b">
        <v>0</v>
      </c>
      <c r="F1122" s="83" t="b">
        <v>0</v>
      </c>
      <c r="G1122" s="83" t="b">
        <v>0</v>
      </c>
    </row>
    <row r="1123" spans="1:7" ht="15">
      <c r="A1123" s="84" t="s">
        <v>1497</v>
      </c>
      <c r="B1123" s="83">
        <v>2</v>
      </c>
      <c r="C1123" s="110">
        <v>0.015945246038004846</v>
      </c>
      <c r="D1123" s="83" t="s">
        <v>1383</v>
      </c>
      <c r="E1123" s="83" t="b">
        <v>0</v>
      </c>
      <c r="F1123" s="83" t="b">
        <v>0</v>
      </c>
      <c r="G1123" s="83" t="b">
        <v>0</v>
      </c>
    </row>
    <row r="1124" spans="1:7" ht="15">
      <c r="A1124" s="84" t="s">
        <v>2053</v>
      </c>
      <c r="B1124" s="83">
        <v>2</v>
      </c>
      <c r="C1124" s="110">
        <v>0.021625057276947884</v>
      </c>
      <c r="D1124" s="83" t="s">
        <v>1383</v>
      </c>
      <c r="E1124" s="83" t="b">
        <v>0</v>
      </c>
      <c r="F1124" s="83" t="b">
        <v>0</v>
      </c>
      <c r="G1124" s="83" t="b">
        <v>0</v>
      </c>
    </row>
    <row r="1125" spans="1:7" ht="15">
      <c r="A1125" s="84" t="s">
        <v>1630</v>
      </c>
      <c r="B1125" s="83">
        <v>2</v>
      </c>
      <c r="C1125" s="110">
        <v>0.021625057276947884</v>
      </c>
      <c r="D1125" s="83" t="s">
        <v>1383</v>
      </c>
      <c r="E1125" s="83" t="b">
        <v>0</v>
      </c>
      <c r="F1125" s="83" t="b">
        <v>0</v>
      </c>
      <c r="G1125" s="83" t="b">
        <v>0</v>
      </c>
    </row>
    <row r="1126" spans="1:7" ht="15">
      <c r="A1126" s="84" t="s">
        <v>1602</v>
      </c>
      <c r="B1126" s="83">
        <v>2</v>
      </c>
      <c r="C1126" s="110">
        <v>0.015945246038004846</v>
      </c>
      <c r="D1126" s="83" t="s">
        <v>1383</v>
      </c>
      <c r="E1126" s="83" t="b">
        <v>0</v>
      </c>
      <c r="F1126" s="83" t="b">
        <v>0</v>
      </c>
      <c r="G1126" s="83" t="b">
        <v>0</v>
      </c>
    </row>
    <row r="1127" spans="1:7" ht="15">
      <c r="A1127" s="84" t="s">
        <v>1560</v>
      </c>
      <c r="B1127" s="83">
        <v>2</v>
      </c>
      <c r="C1127" s="110">
        <v>0.021625057276947884</v>
      </c>
      <c r="D1127" s="83" t="s">
        <v>1383</v>
      </c>
      <c r="E1127" s="83" t="b">
        <v>1</v>
      </c>
      <c r="F1127" s="83" t="b">
        <v>0</v>
      </c>
      <c r="G1127" s="83" t="b">
        <v>0</v>
      </c>
    </row>
    <row r="1128" spans="1:7" ht="15">
      <c r="A1128" s="84" t="s">
        <v>1434</v>
      </c>
      <c r="B1128" s="83">
        <v>2</v>
      </c>
      <c r="C1128" s="110">
        <v>0.021625057276947884</v>
      </c>
      <c r="D1128" s="83" t="s">
        <v>1383</v>
      </c>
      <c r="E1128" s="83" t="b">
        <v>0</v>
      </c>
      <c r="F1128" s="83" t="b">
        <v>0</v>
      </c>
      <c r="G1128" s="83" t="b">
        <v>0</v>
      </c>
    </row>
    <row r="1129" spans="1:7" ht="15">
      <c r="A1129" s="84" t="s">
        <v>1451</v>
      </c>
      <c r="B1129" s="83">
        <v>2</v>
      </c>
      <c r="C1129" s="110">
        <v>0.021625057276947884</v>
      </c>
      <c r="D1129" s="83" t="s">
        <v>1383</v>
      </c>
      <c r="E1129" s="83" t="b">
        <v>0</v>
      </c>
      <c r="F1129" s="83" t="b">
        <v>0</v>
      </c>
      <c r="G1129" s="83" t="b">
        <v>0</v>
      </c>
    </row>
    <row r="1130" spans="1:7" ht="15">
      <c r="A1130" s="84" t="s">
        <v>1625</v>
      </c>
      <c r="B1130" s="83">
        <v>2</v>
      </c>
      <c r="C1130" s="110">
        <v>0.021625057276947884</v>
      </c>
      <c r="D1130" s="83" t="s">
        <v>1383</v>
      </c>
      <c r="E1130" s="83" t="b">
        <v>0</v>
      </c>
      <c r="F1130" s="83" t="b">
        <v>0</v>
      </c>
      <c r="G1130" s="83" t="b">
        <v>0</v>
      </c>
    </row>
    <row r="1131" spans="1:7" ht="15">
      <c r="A1131" s="84" t="s">
        <v>1601</v>
      </c>
      <c r="B1131" s="83">
        <v>2</v>
      </c>
      <c r="C1131" s="110">
        <v>0.021625057276947884</v>
      </c>
      <c r="D1131" s="83" t="s">
        <v>1383</v>
      </c>
      <c r="E1131" s="83" t="b">
        <v>0</v>
      </c>
      <c r="F1131" s="83" t="b">
        <v>0</v>
      </c>
      <c r="G1131" s="83" t="b">
        <v>0</v>
      </c>
    </row>
    <row r="1132" spans="1:7" ht="15">
      <c r="A1132" s="84" t="s">
        <v>1620</v>
      </c>
      <c r="B1132" s="83">
        <v>2</v>
      </c>
      <c r="C1132" s="110">
        <v>0.015945246038004846</v>
      </c>
      <c r="D1132" s="83" t="s">
        <v>1383</v>
      </c>
      <c r="E1132" s="83" t="b">
        <v>0</v>
      </c>
      <c r="F1132" s="83" t="b">
        <v>0</v>
      </c>
      <c r="G1132" s="83" t="b">
        <v>0</v>
      </c>
    </row>
    <row r="1133" spans="1:7" ht="15">
      <c r="A1133" s="84" t="s">
        <v>1436</v>
      </c>
      <c r="B1133" s="83">
        <v>6</v>
      </c>
      <c r="C1133" s="110">
        <v>0.030848445395593494</v>
      </c>
      <c r="D1133" s="83" t="s">
        <v>1384</v>
      </c>
      <c r="E1133" s="83" t="b">
        <v>0</v>
      </c>
      <c r="F1133" s="83" t="b">
        <v>0</v>
      </c>
      <c r="G1133" s="83" t="b">
        <v>0</v>
      </c>
    </row>
    <row r="1134" spans="1:7" ht="15">
      <c r="A1134" s="84" t="s">
        <v>1517</v>
      </c>
      <c r="B1134" s="83">
        <v>6</v>
      </c>
      <c r="C1134" s="110">
        <v>0.030848445395593494</v>
      </c>
      <c r="D1134" s="83" t="s">
        <v>1384</v>
      </c>
      <c r="E1134" s="83" t="b">
        <v>1</v>
      </c>
      <c r="F1134" s="83" t="b">
        <v>0</v>
      </c>
      <c r="G1134" s="83" t="b">
        <v>0</v>
      </c>
    </row>
    <row r="1135" spans="1:7" ht="15">
      <c r="A1135" s="84" t="s">
        <v>1428</v>
      </c>
      <c r="B1135" s="83">
        <v>4</v>
      </c>
      <c r="C1135" s="110">
        <v>0.01567420640107118</v>
      </c>
      <c r="D1135" s="83" t="s">
        <v>1384</v>
      </c>
      <c r="E1135" s="83" t="b">
        <v>0</v>
      </c>
      <c r="F1135" s="83" t="b">
        <v>0</v>
      </c>
      <c r="G1135" s="83" t="b">
        <v>0</v>
      </c>
    </row>
    <row r="1136" spans="1:7" ht="15">
      <c r="A1136" s="84" t="s">
        <v>1515</v>
      </c>
      <c r="B1136" s="83">
        <v>4</v>
      </c>
      <c r="C1136" s="110">
        <v>0.020565630263728995</v>
      </c>
      <c r="D1136" s="83" t="s">
        <v>1384</v>
      </c>
      <c r="E1136" s="83" t="b">
        <v>0</v>
      </c>
      <c r="F1136" s="83" t="b">
        <v>0</v>
      </c>
      <c r="G1136" s="83" t="b">
        <v>0</v>
      </c>
    </row>
    <row r="1137" spans="1:7" ht="15">
      <c r="A1137" s="84" t="s">
        <v>1516</v>
      </c>
      <c r="B1137" s="83">
        <v>4</v>
      </c>
      <c r="C1137" s="110">
        <v>0.028927574587728475</v>
      </c>
      <c r="D1137" s="83" t="s">
        <v>1384</v>
      </c>
      <c r="E1137" s="83" t="b">
        <v>0</v>
      </c>
      <c r="F1137" s="83" t="b">
        <v>0</v>
      </c>
      <c r="G1137" s="83" t="b">
        <v>0</v>
      </c>
    </row>
    <row r="1138" spans="1:7" ht="15">
      <c r="A1138" s="84" t="s">
        <v>1496</v>
      </c>
      <c r="B1138" s="83">
        <v>4</v>
      </c>
      <c r="C1138" s="110">
        <v>0.020565630263728995</v>
      </c>
      <c r="D1138" s="83" t="s">
        <v>1384</v>
      </c>
      <c r="E1138" s="83" t="b">
        <v>0</v>
      </c>
      <c r="F1138" s="83" t="b">
        <v>0</v>
      </c>
      <c r="G1138" s="83" t="b">
        <v>0</v>
      </c>
    </row>
    <row r="1139" spans="1:7" ht="15">
      <c r="A1139" s="84" t="s">
        <v>1562</v>
      </c>
      <c r="B1139" s="83">
        <v>4</v>
      </c>
      <c r="C1139" s="110">
        <v>0.028927574587728475</v>
      </c>
      <c r="D1139" s="83" t="s">
        <v>1384</v>
      </c>
      <c r="E1139" s="83" t="b">
        <v>0</v>
      </c>
      <c r="F1139" s="83" t="b">
        <v>0</v>
      </c>
      <c r="G1139" s="83" t="b">
        <v>0</v>
      </c>
    </row>
    <row r="1140" spans="1:7" ht="15">
      <c r="A1140" s="84" t="s">
        <v>1454</v>
      </c>
      <c r="B1140" s="83">
        <v>3</v>
      </c>
      <c r="C1140" s="110">
        <v>0.011755654800803386</v>
      </c>
      <c r="D1140" s="83" t="s">
        <v>1384</v>
      </c>
      <c r="E1140" s="83" t="b">
        <v>1</v>
      </c>
      <c r="F1140" s="83" t="b">
        <v>0</v>
      </c>
      <c r="G1140" s="83" t="b">
        <v>0</v>
      </c>
    </row>
    <row r="1141" spans="1:7" ht="15">
      <c r="A1141" s="84" t="s">
        <v>1445</v>
      </c>
      <c r="B1141" s="83">
        <v>3</v>
      </c>
      <c r="C1141" s="110">
        <v>0.011755654800803386</v>
      </c>
      <c r="D1141" s="83" t="s">
        <v>1384</v>
      </c>
      <c r="E1141" s="83" t="b">
        <v>0</v>
      </c>
      <c r="F1141" s="83" t="b">
        <v>0</v>
      </c>
      <c r="G1141" s="83" t="b">
        <v>0</v>
      </c>
    </row>
    <row r="1142" spans="1:7" ht="15">
      <c r="A1142" s="84" t="s">
        <v>1588</v>
      </c>
      <c r="B1142" s="83">
        <v>2</v>
      </c>
      <c r="C1142" s="110">
        <v>0.014463787293864237</v>
      </c>
      <c r="D1142" s="83" t="s">
        <v>1384</v>
      </c>
      <c r="E1142" s="83" t="b">
        <v>0</v>
      </c>
      <c r="F1142" s="83" t="b">
        <v>0</v>
      </c>
      <c r="G1142" s="83" t="b">
        <v>0</v>
      </c>
    </row>
    <row r="1143" spans="1:7" ht="15">
      <c r="A1143" s="84" t="s">
        <v>1797</v>
      </c>
      <c r="B1143" s="83">
        <v>2</v>
      </c>
      <c r="C1143" s="110">
        <v>0.014463787293864237</v>
      </c>
      <c r="D1143" s="83" t="s">
        <v>1384</v>
      </c>
      <c r="E1143" s="83" t="b">
        <v>0</v>
      </c>
      <c r="F1143" s="83" t="b">
        <v>0</v>
      </c>
      <c r="G1143" s="83" t="b">
        <v>0</v>
      </c>
    </row>
    <row r="1144" spans="1:7" ht="15">
      <c r="A1144" s="84" t="s">
        <v>1798</v>
      </c>
      <c r="B1144" s="83">
        <v>2</v>
      </c>
      <c r="C1144" s="110">
        <v>0.010282815131864497</v>
      </c>
      <c r="D1144" s="83" t="s">
        <v>1384</v>
      </c>
      <c r="E1144" s="83" t="b">
        <v>0</v>
      </c>
      <c r="F1144" s="83" t="b">
        <v>0</v>
      </c>
      <c r="G1144" s="83" t="b">
        <v>0</v>
      </c>
    </row>
    <row r="1145" spans="1:7" ht="15">
      <c r="A1145" s="84" t="s">
        <v>1450</v>
      </c>
      <c r="B1145" s="83">
        <v>2</v>
      </c>
      <c r="C1145" s="110">
        <v>0.010282815131864497</v>
      </c>
      <c r="D1145" s="83" t="s">
        <v>1384</v>
      </c>
      <c r="E1145" s="83" t="b">
        <v>0</v>
      </c>
      <c r="F1145" s="83" t="b">
        <v>0</v>
      </c>
      <c r="G1145" s="83" t="b">
        <v>0</v>
      </c>
    </row>
    <row r="1146" spans="1:7" ht="15">
      <c r="A1146" s="84" t="s">
        <v>1602</v>
      </c>
      <c r="B1146" s="83">
        <v>2</v>
      </c>
      <c r="C1146" s="110">
        <v>0.010282815131864497</v>
      </c>
      <c r="D1146" s="83" t="s">
        <v>1384</v>
      </c>
      <c r="E1146" s="83" t="b">
        <v>0</v>
      </c>
      <c r="F1146" s="83" t="b">
        <v>0</v>
      </c>
      <c r="G1146" s="83" t="b">
        <v>0</v>
      </c>
    </row>
    <row r="1147" spans="1:7" ht="15">
      <c r="A1147" s="84" t="s">
        <v>1799</v>
      </c>
      <c r="B1147" s="83">
        <v>2</v>
      </c>
      <c r="C1147" s="110">
        <v>0.014463787293864237</v>
      </c>
      <c r="D1147" s="83" t="s">
        <v>1384</v>
      </c>
      <c r="E1147" s="83" t="b">
        <v>0</v>
      </c>
      <c r="F1147" s="83" t="b">
        <v>0</v>
      </c>
      <c r="G1147" s="83" t="b">
        <v>0</v>
      </c>
    </row>
    <row r="1148" spans="1:7" ht="15">
      <c r="A1148" s="84" t="s">
        <v>1800</v>
      </c>
      <c r="B1148" s="83">
        <v>2</v>
      </c>
      <c r="C1148" s="110">
        <v>0.014463787293864237</v>
      </c>
      <c r="D1148" s="83" t="s">
        <v>1384</v>
      </c>
      <c r="E1148" s="83" t="b">
        <v>0</v>
      </c>
      <c r="F1148" s="83" t="b">
        <v>0</v>
      </c>
      <c r="G1148" s="83" t="b">
        <v>0</v>
      </c>
    </row>
    <row r="1149" spans="1:7" ht="15">
      <c r="A1149" s="84" t="s">
        <v>1802</v>
      </c>
      <c r="B1149" s="83">
        <v>2</v>
      </c>
      <c r="C1149" s="110">
        <v>0.010282815131864497</v>
      </c>
      <c r="D1149" s="83" t="s">
        <v>1384</v>
      </c>
      <c r="E1149" s="83" t="b">
        <v>0</v>
      </c>
      <c r="F1149" s="83" t="b">
        <v>0</v>
      </c>
      <c r="G1149" s="83" t="b">
        <v>0</v>
      </c>
    </row>
    <row r="1150" spans="1:7" ht="15">
      <c r="A1150" s="84" t="s">
        <v>1804</v>
      </c>
      <c r="B1150" s="83">
        <v>2</v>
      </c>
      <c r="C1150" s="110">
        <v>0.014463787293864237</v>
      </c>
      <c r="D1150" s="83" t="s">
        <v>1384</v>
      </c>
      <c r="E1150" s="83" t="b">
        <v>0</v>
      </c>
      <c r="F1150" s="83" t="b">
        <v>0</v>
      </c>
      <c r="G1150" s="83" t="b">
        <v>0</v>
      </c>
    </row>
    <row r="1151" spans="1:7" ht="15">
      <c r="A1151" s="84" t="s">
        <v>1564</v>
      </c>
      <c r="B1151" s="83">
        <v>2</v>
      </c>
      <c r="C1151" s="110">
        <v>0.014463787293864237</v>
      </c>
      <c r="D1151" s="83" t="s">
        <v>1384</v>
      </c>
      <c r="E1151" s="83" t="b">
        <v>0</v>
      </c>
      <c r="F1151" s="83" t="b">
        <v>0</v>
      </c>
      <c r="G1151" s="83" t="b">
        <v>0</v>
      </c>
    </row>
    <row r="1152" spans="1:7" ht="15">
      <c r="A1152" s="84" t="s">
        <v>1434</v>
      </c>
      <c r="B1152" s="83">
        <v>2</v>
      </c>
      <c r="C1152" s="110">
        <v>0.010282815131864497</v>
      </c>
      <c r="D1152" s="83" t="s">
        <v>1384</v>
      </c>
      <c r="E1152" s="83" t="b">
        <v>0</v>
      </c>
      <c r="F1152" s="83" t="b">
        <v>0</v>
      </c>
      <c r="G1152" s="83" t="b">
        <v>0</v>
      </c>
    </row>
    <row r="1153" spans="1:7" ht="15">
      <c r="A1153" s="84" t="s">
        <v>1452</v>
      </c>
      <c r="B1153" s="83">
        <v>2</v>
      </c>
      <c r="C1153" s="110">
        <v>0.010282815131864497</v>
      </c>
      <c r="D1153" s="83" t="s">
        <v>1384</v>
      </c>
      <c r="E1153" s="83" t="b">
        <v>0</v>
      </c>
      <c r="F1153" s="83" t="b">
        <v>0</v>
      </c>
      <c r="G1153" s="83" t="b">
        <v>0</v>
      </c>
    </row>
    <row r="1154" spans="1:7" ht="15">
      <c r="A1154" s="84" t="s">
        <v>1526</v>
      </c>
      <c r="B1154" s="83">
        <v>7</v>
      </c>
      <c r="C1154" s="110">
        <v>0.014039065733191646</v>
      </c>
      <c r="D1154" s="83" t="s">
        <v>1385</v>
      </c>
      <c r="E1154" s="83" t="b">
        <v>0</v>
      </c>
      <c r="F1154" s="83" t="b">
        <v>0</v>
      </c>
      <c r="G1154" s="83" t="b">
        <v>0</v>
      </c>
    </row>
    <row r="1155" spans="1:7" ht="15">
      <c r="A1155" s="84" t="s">
        <v>1428</v>
      </c>
      <c r="B1155" s="83">
        <v>7</v>
      </c>
      <c r="C1155" s="110">
        <v>0.014039065733191646</v>
      </c>
      <c r="D1155" s="83" t="s">
        <v>1385</v>
      </c>
      <c r="E1155" s="83" t="b">
        <v>0</v>
      </c>
      <c r="F1155" s="83" t="b">
        <v>0</v>
      </c>
      <c r="G1155" s="83" t="b">
        <v>0</v>
      </c>
    </row>
    <row r="1156" spans="1:7" ht="15">
      <c r="A1156" s="84" t="s">
        <v>1550</v>
      </c>
      <c r="B1156" s="83">
        <v>6</v>
      </c>
      <c r="C1156" s="110">
        <v>0.01422767388793158</v>
      </c>
      <c r="D1156" s="83" t="s">
        <v>1385</v>
      </c>
      <c r="E1156" s="83" t="b">
        <v>0</v>
      </c>
      <c r="F1156" s="83" t="b">
        <v>0</v>
      </c>
      <c r="G1156" s="83" t="b">
        <v>0</v>
      </c>
    </row>
    <row r="1157" spans="1:7" ht="15">
      <c r="A1157" s="84" t="s">
        <v>1549</v>
      </c>
      <c r="B1157" s="83">
        <v>5</v>
      </c>
      <c r="C1157" s="110">
        <v>0.010027904095136889</v>
      </c>
      <c r="D1157" s="83" t="s">
        <v>1385</v>
      </c>
      <c r="E1157" s="83" t="b">
        <v>0</v>
      </c>
      <c r="F1157" s="83" t="b">
        <v>0</v>
      </c>
      <c r="G1157" s="83" t="b">
        <v>0</v>
      </c>
    </row>
    <row r="1158" spans="1:7" ht="15">
      <c r="A1158" s="84" t="s">
        <v>1583</v>
      </c>
      <c r="B1158" s="83">
        <v>5</v>
      </c>
      <c r="C1158" s="110">
        <v>0.010027904095136889</v>
      </c>
      <c r="D1158" s="83" t="s">
        <v>1385</v>
      </c>
      <c r="E1158" s="83" t="b">
        <v>0</v>
      </c>
      <c r="F1158" s="83" t="b">
        <v>0</v>
      </c>
      <c r="G1158" s="83" t="b">
        <v>0</v>
      </c>
    </row>
    <row r="1159" spans="1:7" ht="15">
      <c r="A1159" s="84" t="s">
        <v>1584</v>
      </c>
      <c r="B1159" s="83">
        <v>5</v>
      </c>
      <c r="C1159" s="110">
        <v>0.010027904095136889</v>
      </c>
      <c r="D1159" s="83" t="s">
        <v>1385</v>
      </c>
      <c r="E1159" s="83" t="b">
        <v>0</v>
      </c>
      <c r="F1159" s="83" t="b">
        <v>0</v>
      </c>
      <c r="G1159" s="83" t="b">
        <v>0</v>
      </c>
    </row>
    <row r="1160" spans="1:7" ht="15">
      <c r="A1160" s="84" t="s">
        <v>1641</v>
      </c>
      <c r="B1160" s="83">
        <v>4</v>
      </c>
      <c r="C1160" s="110">
        <v>0.00948511592528772</v>
      </c>
      <c r="D1160" s="83" t="s">
        <v>1385</v>
      </c>
      <c r="E1160" s="83" t="b">
        <v>0</v>
      </c>
      <c r="F1160" s="83" t="b">
        <v>0</v>
      </c>
      <c r="G1160" s="83" t="b">
        <v>0</v>
      </c>
    </row>
    <row r="1161" spans="1:7" ht="15">
      <c r="A1161" s="84" t="s">
        <v>1739</v>
      </c>
      <c r="B1161" s="83">
        <v>3</v>
      </c>
      <c r="C1161" s="110">
        <v>0.008528237735757865</v>
      </c>
      <c r="D1161" s="83" t="s">
        <v>1385</v>
      </c>
      <c r="E1161" s="83" t="b">
        <v>0</v>
      </c>
      <c r="F1161" s="83" t="b">
        <v>0</v>
      </c>
      <c r="G1161" s="83" t="b">
        <v>0</v>
      </c>
    </row>
    <row r="1162" spans="1:7" ht="15">
      <c r="A1162" s="84" t="s">
        <v>1740</v>
      </c>
      <c r="B1162" s="83">
        <v>3</v>
      </c>
      <c r="C1162" s="110">
        <v>0.008528237735757865</v>
      </c>
      <c r="D1162" s="83" t="s">
        <v>1385</v>
      </c>
      <c r="E1162" s="83" t="b">
        <v>0</v>
      </c>
      <c r="F1162" s="83" t="b">
        <v>0</v>
      </c>
      <c r="G1162" s="83" t="b">
        <v>0</v>
      </c>
    </row>
    <row r="1163" spans="1:7" ht="15">
      <c r="A1163" s="84" t="s">
        <v>1741</v>
      </c>
      <c r="B1163" s="83">
        <v>3</v>
      </c>
      <c r="C1163" s="110">
        <v>0.010521723687331615</v>
      </c>
      <c r="D1163" s="83" t="s">
        <v>1385</v>
      </c>
      <c r="E1163" s="83" t="b">
        <v>0</v>
      </c>
      <c r="F1163" s="83" t="b">
        <v>0</v>
      </c>
      <c r="G1163" s="83" t="b">
        <v>0</v>
      </c>
    </row>
    <row r="1164" spans="1:7" ht="15">
      <c r="A1164" s="84" t="s">
        <v>1742</v>
      </c>
      <c r="B1164" s="83">
        <v>3</v>
      </c>
      <c r="C1164" s="110">
        <v>0.008528237735757865</v>
      </c>
      <c r="D1164" s="83" t="s">
        <v>1385</v>
      </c>
      <c r="E1164" s="83" t="b">
        <v>0</v>
      </c>
      <c r="F1164" s="83" t="b">
        <v>0</v>
      </c>
      <c r="G1164" s="83" t="b">
        <v>0</v>
      </c>
    </row>
    <row r="1165" spans="1:7" ht="15">
      <c r="A1165" s="84" t="s">
        <v>1623</v>
      </c>
      <c r="B1165" s="83">
        <v>3</v>
      </c>
      <c r="C1165" s="110">
        <v>0.008528237735757865</v>
      </c>
      <c r="D1165" s="83" t="s">
        <v>1385</v>
      </c>
      <c r="E1165" s="83" t="b">
        <v>0</v>
      </c>
      <c r="F1165" s="83" t="b">
        <v>0</v>
      </c>
      <c r="G1165" s="83" t="b">
        <v>0</v>
      </c>
    </row>
    <row r="1166" spans="1:7" ht="15">
      <c r="A1166" s="84" t="s">
        <v>1743</v>
      </c>
      <c r="B1166" s="83">
        <v>3</v>
      </c>
      <c r="C1166" s="110">
        <v>0.008528237735757865</v>
      </c>
      <c r="D1166" s="83" t="s">
        <v>1385</v>
      </c>
      <c r="E1166" s="83" t="b">
        <v>0</v>
      </c>
      <c r="F1166" s="83" t="b">
        <v>0</v>
      </c>
      <c r="G1166" s="83" t="b">
        <v>0</v>
      </c>
    </row>
    <row r="1167" spans="1:7" ht="15">
      <c r="A1167" s="84" t="s">
        <v>1640</v>
      </c>
      <c r="B1167" s="83">
        <v>3</v>
      </c>
      <c r="C1167" s="110">
        <v>0.008528237735757865</v>
      </c>
      <c r="D1167" s="83" t="s">
        <v>1385</v>
      </c>
      <c r="E1167" s="83" t="b">
        <v>0</v>
      </c>
      <c r="F1167" s="83" t="b">
        <v>0</v>
      </c>
      <c r="G1167" s="83" t="b">
        <v>0</v>
      </c>
    </row>
    <row r="1168" spans="1:7" ht="15">
      <c r="A1168" s="84" t="s">
        <v>1744</v>
      </c>
      <c r="B1168" s="83">
        <v>3</v>
      </c>
      <c r="C1168" s="110">
        <v>0.008528237735757865</v>
      </c>
      <c r="D1168" s="83" t="s">
        <v>1385</v>
      </c>
      <c r="E1168" s="83" t="b">
        <v>0</v>
      </c>
      <c r="F1168" s="83" t="b">
        <v>0</v>
      </c>
      <c r="G1168" s="83" t="b">
        <v>0</v>
      </c>
    </row>
    <row r="1169" spans="1:7" ht="15">
      <c r="A1169" s="84" t="s">
        <v>1747</v>
      </c>
      <c r="B1169" s="83">
        <v>3</v>
      </c>
      <c r="C1169" s="110">
        <v>0.008528237735757865</v>
      </c>
      <c r="D1169" s="83" t="s">
        <v>1385</v>
      </c>
      <c r="E1169" s="83" t="b">
        <v>0</v>
      </c>
      <c r="F1169" s="83" t="b">
        <v>0</v>
      </c>
      <c r="G1169" s="83" t="b">
        <v>0</v>
      </c>
    </row>
    <row r="1170" spans="1:7" ht="15">
      <c r="A1170" s="84" t="s">
        <v>1752</v>
      </c>
      <c r="B1170" s="83">
        <v>3</v>
      </c>
      <c r="C1170" s="110">
        <v>0.008528237735757865</v>
      </c>
      <c r="D1170" s="83" t="s">
        <v>1385</v>
      </c>
      <c r="E1170" s="83" t="b">
        <v>0</v>
      </c>
      <c r="F1170" s="83" t="b">
        <v>0</v>
      </c>
      <c r="G1170" s="83" t="b">
        <v>0</v>
      </c>
    </row>
    <row r="1171" spans="1:7" ht="15">
      <c r="A1171" s="84" t="s">
        <v>1750</v>
      </c>
      <c r="B1171" s="83">
        <v>3</v>
      </c>
      <c r="C1171" s="110">
        <v>0.01392961043069744</v>
      </c>
      <c r="D1171" s="83" t="s">
        <v>1385</v>
      </c>
      <c r="E1171" s="83" t="b">
        <v>0</v>
      </c>
      <c r="F1171" s="83" t="b">
        <v>0</v>
      </c>
      <c r="G1171" s="83" t="b">
        <v>0</v>
      </c>
    </row>
    <row r="1172" spans="1:7" ht="15">
      <c r="A1172" s="84" t="s">
        <v>1751</v>
      </c>
      <c r="B1172" s="83">
        <v>3</v>
      </c>
      <c r="C1172" s="110">
        <v>0.01392961043069744</v>
      </c>
      <c r="D1172" s="83" t="s">
        <v>1385</v>
      </c>
      <c r="E1172" s="83" t="b">
        <v>0</v>
      </c>
      <c r="F1172" s="83" t="b">
        <v>0</v>
      </c>
      <c r="G1172" s="83" t="b">
        <v>0</v>
      </c>
    </row>
    <row r="1173" spans="1:7" ht="15">
      <c r="A1173" s="84" t="s">
        <v>1745</v>
      </c>
      <c r="B1173" s="83">
        <v>3</v>
      </c>
      <c r="C1173" s="110">
        <v>0.008528237735757865</v>
      </c>
      <c r="D1173" s="83" t="s">
        <v>1385</v>
      </c>
      <c r="E1173" s="83" t="b">
        <v>0</v>
      </c>
      <c r="F1173" s="83" t="b">
        <v>0</v>
      </c>
      <c r="G1173" s="83" t="b">
        <v>0</v>
      </c>
    </row>
    <row r="1174" spans="1:7" ht="15">
      <c r="A1174" s="84" t="s">
        <v>1746</v>
      </c>
      <c r="B1174" s="83">
        <v>3</v>
      </c>
      <c r="C1174" s="110">
        <v>0.008528237735757865</v>
      </c>
      <c r="D1174" s="83" t="s">
        <v>1385</v>
      </c>
      <c r="E1174" s="83" t="b">
        <v>0</v>
      </c>
      <c r="F1174" s="83" t="b">
        <v>0</v>
      </c>
      <c r="G1174" s="83" t="b">
        <v>0</v>
      </c>
    </row>
    <row r="1175" spans="1:7" ht="15">
      <c r="A1175" s="84" t="s">
        <v>1749</v>
      </c>
      <c r="B1175" s="83">
        <v>3</v>
      </c>
      <c r="C1175" s="110">
        <v>0.010521723687331615</v>
      </c>
      <c r="D1175" s="83" t="s">
        <v>1385</v>
      </c>
      <c r="E1175" s="83" t="b">
        <v>0</v>
      </c>
      <c r="F1175" s="83" t="b">
        <v>0</v>
      </c>
      <c r="G1175" s="83" t="b">
        <v>0</v>
      </c>
    </row>
    <row r="1176" spans="1:7" ht="15">
      <c r="A1176" s="84" t="s">
        <v>1980</v>
      </c>
      <c r="B1176" s="83">
        <v>2</v>
      </c>
      <c r="C1176" s="110">
        <v>0.007014482458221077</v>
      </c>
      <c r="D1176" s="83" t="s">
        <v>1385</v>
      </c>
      <c r="E1176" s="83" t="b">
        <v>0</v>
      </c>
      <c r="F1176" s="83" t="b">
        <v>0</v>
      </c>
      <c r="G1176" s="83" t="b">
        <v>0</v>
      </c>
    </row>
    <row r="1177" spans="1:7" ht="15">
      <c r="A1177" s="84" t="s">
        <v>1982</v>
      </c>
      <c r="B1177" s="83">
        <v>2</v>
      </c>
      <c r="C1177" s="110">
        <v>0.007014482458221077</v>
      </c>
      <c r="D1177" s="83" t="s">
        <v>1385</v>
      </c>
      <c r="E1177" s="83" t="b">
        <v>0</v>
      </c>
      <c r="F1177" s="83" t="b">
        <v>0</v>
      </c>
      <c r="G1177" s="83" t="b">
        <v>0</v>
      </c>
    </row>
    <row r="1178" spans="1:7" ht="15">
      <c r="A1178" s="84" t="s">
        <v>1983</v>
      </c>
      <c r="B1178" s="83">
        <v>2</v>
      </c>
      <c r="C1178" s="110">
        <v>0.007014482458221077</v>
      </c>
      <c r="D1178" s="83" t="s">
        <v>1385</v>
      </c>
      <c r="E1178" s="83" t="b">
        <v>0</v>
      </c>
      <c r="F1178" s="83" t="b">
        <v>0</v>
      </c>
      <c r="G1178" s="83" t="b">
        <v>0</v>
      </c>
    </row>
    <row r="1179" spans="1:7" ht="15">
      <c r="A1179" s="84" t="s">
        <v>1985</v>
      </c>
      <c r="B1179" s="83">
        <v>2</v>
      </c>
      <c r="C1179" s="110">
        <v>0.007014482458221077</v>
      </c>
      <c r="D1179" s="83" t="s">
        <v>1385</v>
      </c>
      <c r="E1179" s="83" t="b">
        <v>0</v>
      </c>
      <c r="F1179" s="83" t="b">
        <v>0</v>
      </c>
      <c r="G1179" s="83" t="b">
        <v>0</v>
      </c>
    </row>
    <row r="1180" spans="1:7" ht="15">
      <c r="A1180" s="84" t="s">
        <v>1458</v>
      </c>
      <c r="B1180" s="83">
        <v>2</v>
      </c>
      <c r="C1180" s="110">
        <v>0.007014482458221077</v>
      </c>
      <c r="D1180" s="83" t="s">
        <v>1385</v>
      </c>
      <c r="E1180" s="83" t="b">
        <v>1</v>
      </c>
      <c r="F1180" s="83" t="b">
        <v>0</v>
      </c>
      <c r="G1180" s="83" t="b">
        <v>0</v>
      </c>
    </row>
    <row r="1181" spans="1:7" ht="15">
      <c r="A1181" s="84" t="s">
        <v>1986</v>
      </c>
      <c r="B1181" s="83">
        <v>2</v>
      </c>
      <c r="C1181" s="110">
        <v>0.007014482458221077</v>
      </c>
      <c r="D1181" s="83" t="s">
        <v>1385</v>
      </c>
      <c r="E1181" s="83" t="b">
        <v>0</v>
      </c>
      <c r="F1181" s="83" t="b">
        <v>0</v>
      </c>
      <c r="G1181" s="83" t="b">
        <v>0</v>
      </c>
    </row>
    <row r="1182" spans="1:7" ht="15">
      <c r="A1182" s="84" t="s">
        <v>1987</v>
      </c>
      <c r="B1182" s="83">
        <v>2</v>
      </c>
      <c r="C1182" s="110">
        <v>0.009286406953798294</v>
      </c>
      <c r="D1182" s="83" t="s">
        <v>1385</v>
      </c>
      <c r="E1182" s="83" t="b">
        <v>0</v>
      </c>
      <c r="F1182" s="83" t="b">
        <v>0</v>
      </c>
      <c r="G1182" s="83" t="b">
        <v>0</v>
      </c>
    </row>
    <row r="1183" spans="1:7" ht="15">
      <c r="A1183" s="84" t="s">
        <v>1988</v>
      </c>
      <c r="B1183" s="83">
        <v>2</v>
      </c>
      <c r="C1183" s="110">
        <v>0.007014482458221077</v>
      </c>
      <c r="D1183" s="83" t="s">
        <v>1385</v>
      </c>
      <c r="E1183" s="83" t="b">
        <v>0</v>
      </c>
      <c r="F1183" s="83" t="b">
        <v>0</v>
      </c>
      <c r="G1183" s="83" t="b">
        <v>0</v>
      </c>
    </row>
    <row r="1184" spans="1:7" ht="15">
      <c r="A1184" s="84" t="s">
        <v>1989</v>
      </c>
      <c r="B1184" s="83">
        <v>2</v>
      </c>
      <c r="C1184" s="110">
        <v>0.007014482458221077</v>
      </c>
      <c r="D1184" s="83" t="s">
        <v>1385</v>
      </c>
      <c r="E1184" s="83" t="b">
        <v>0</v>
      </c>
      <c r="F1184" s="83" t="b">
        <v>0</v>
      </c>
      <c r="G1184" s="83" t="b">
        <v>0</v>
      </c>
    </row>
    <row r="1185" spans="1:7" ht="15">
      <c r="A1185" s="84" t="s">
        <v>1990</v>
      </c>
      <c r="B1185" s="83">
        <v>2</v>
      </c>
      <c r="C1185" s="110">
        <v>0.007014482458221077</v>
      </c>
      <c r="D1185" s="83" t="s">
        <v>1385</v>
      </c>
      <c r="E1185" s="83" t="b">
        <v>0</v>
      </c>
      <c r="F1185" s="83" t="b">
        <v>0</v>
      </c>
      <c r="G1185" s="83" t="b">
        <v>0</v>
      </c>
    </row>
    <row r="1186" spans="1:7" ht="15">
      <c r="A1186" s="84" t="s">
        <v>1991</v>
      </c>
      <c r="B1186" s="83">
        <v>2</v>
      </c>
      <c r="C1186" s="110">
        <v>0.007014482458221077</v>
      </c>
      <c r="D1186" s="83" t="s">
        <v>1385</v>
      </c>
      <c r="E1186" s="83" t="b">
        <v>0</v>
      </c>
      <c r="F1186" s="83" t="b">
        <v>0</v>
      </c>
      <c r="G1186" s="83" t="b">
        <v>0</v>
      </c>
    </row>
    <row r="1187" spans="1:7" ht="15">
      <c r="A1187" s="84" t="s">
        <v>1992</v>
      </c>
      <c r="B1187" s="83">
        <v>2</v>
      </c>
      <c r="C1187" s="110">
        <v>0.007014482458221077</v>
      </c>
      <c r="D1187" s="83" t="s">
        <v>1385</v>
      </c>
      <c r="E1187" s="83" t="b">
        <v>0</v>
      </c>
      <c r="F1187" s="83" t="b">
        <v>0</v>
      </c>
      <c r="G1187" s="83" t="b">
        <v>0</v>
      </c>
    </row>
    <row r="1188" spans="1:7" ht="15">
      <c r="A1188" s="84" t="s">
        <v>1993</v>
      </c>
      <c r="B1188" s="83">
        <v>2</v>
      </c>
      <c r="C1188" s="110">
        <v>0.007014482458221077</v>
      </c>
      <c r="D1188" s="83" t="s">
        <v>1385</v>
      </c>
      <c r="E1188" s="83" t="b">
        <v>0</v>
      </c>
      <c r="F1188" s="83" t="b">
        <v>0</v>
      </c>
      <c r="G1188" s="83" t="b">
        <v>0</v>
      </c>
    </row>
    <row r="1189" spans="1:7" ht="15">
      <c r="A1189" s="84" t="s">
        <v>1995</v>
      </c>
      <c r="B1189" s="83">
        <v>2</v>
      </c>
      <c r="C1189" s="110">
        <v>0.007014482458221077</v>
      </c>
      <c r="D1189" s="83" t="s">
        <v>1385</v>
      </c>
      <c r="E1189" s="83" t="b">
        <v>0</v>
      </c>
      <c r="F1189" s="83" t="b">
        <v>0</v>
      </c>
      <c r="G1189" s="83" t="b">
        <v>0</v>
      </c>
    </row>
    <row r="1190" spans="1:7" ht="15">
      <c r="A1190" s="84" t="s">
        <v>2004</v>
      </c>
      <c r="B1190" s="83">
        <v>2</v>
      </c>
      <c r="C1190" s="110">
        <v>0.007014482458221077</v>
      </c>
      <c r="D1190" s="83" t="s">
        <v>1385</v>
      </c>
      <c r="E1190" s="83" t="b">
        <v>0</v>
      </c>
      <c r="F1190" s="83" t="b">
        <v>0</v>
      </c>
      <c r="G1190" s="83" t="b">
        <v>0</v>
      </c>
    </row>
    <row r="1191" spans="1:7" ht="15">
      <c r="A1191" s="84" t="s">
        <v>1998</v>
      </c>
      <c r="B1191" s="83">
        <v>2</v>
      </c>
      <c r="C1191" s="110">
        <v>0.007014482458221077</v>
      </c>
      <c r="D1191" s="83" t="s">
        <v>1385</v>
      </c>
      <c r="E1191" s="83" t="b">
        <v>0</v>
      </c>
      <c r="F1191" s="83" t="b">
        <v>0</v>
      </c>
      <c r="G1191" s="83" t="b">
        <v>0</v>
      </c>
    </row>
    <row r="1192" spans="1:7" ht="15">
      <c r="A1192" s="84" t="s">
        <v>1996</v>
      </c>
      <c r="B1192" s="83">
        <v>2</v>
      </c>
      <c r="C1192" s="110">
        <v>0.007014482458221077</v>
      </c>
      <c r="D1192" s="83" t="s">
        <v>1385</v>
      </c>
      <c r="E1192" s="83" t="b">
        <v>0</v>
      </c>
      <c r="F1192" s="83" t="b">
        <v>0</v>
      </c>
      <c r="G1192" s="83" t="b">
        <v>0</v>
      </c>
    </row>
    <row r="1193" spans="1:7" ht="15">
      <c r="A1193" s="84" t="s">
        <v>1997</v>
      </c>
      <c r="B1193" s="83">
        <v>2</v>
      </c>
      <c r="C1193" s="110">
        <v>0.009286406953798294</v>
      </c>
      <c r="D1193" s="83" t="s">
        <v>1385</v>
      </c>
      <c r="E1193" s="83" t="b">
        <v>0</v>
      </c>
      <c r="F1193" s="83" t="b">
        <v>0</v>
      </c>
      <c r="G1193" s="83" t="b">
        <v>0</v>
      </c>
    </row>
    <row r="1194" spans="1:7" ht="15">
      <c r="A1194" s="84" t="s">
        <v>1748</v>
      </c>
      <c r="B1194" s="83">
        <v>2</v>
      </c>
      <c r="C1194" s="110">
        <v>0.009286406953798294</v>
      </c>
      <c r="D1194" s="83" t="s">
        <v>1385</v>
      </c>
      <c r="E1194" s="83" t="b">
        <v>0</v>
      </c>
      <c r="F1194" s="83" t="b">
        <v>0</v>
      </c>
      <c r="G1194" s="83" t="b">
        <v>0</v>
      </c>
    </row>
    <row r="1195" spans="1:7" ht="15">
      <c r="A1195" s="84" t="s">
        <v>1999</v>
      </c>
      <c r="B1195" s="83">
        <v>2</v>
      </c>
      <c r="C1195" s="110">
        <v>0.009286406953798294</v>
      </c>
      <c r="D1195" s="83" t="s">
        <v>1385</v>
      </c>
      <c r="E1195" s="83" t="b">
        <v>0</v>
      </c>
      <c r="F1195" s="83" t="b">
        <v>0</v>
      </c>
      <c r="G1195" s="83" t="b">
        <v>0</v>
      </c>
    </row>
    <row r="1196" spans="1:7" ht="15">
      <c r="A1196" s="84" t="s">
        <v>2000</v>
      </c>
      <c r="B1196" s="83">
        <v>2</v>
      </c>
      <c r="C1196" s="110">
        <v>0.007014482458221077</v>
      </c>
      <c r="D1196" s="83" t="s">
        <v>1385</v>
      </c>
      <c r="E1196" s="83" t="b">
        <v>0</v>
      </c>
      <c r="F1196" s="83" t="b">
        <v>0</v>
      </c>
      <c r="G1196" s="83" t="b">
        <v>0</v>
      </c>
    </row>
    <row r="1197" spans="1:7" ht="15">
      <c r="A1197" s="84" t="s">
        <v>2001</v>
      </c>
      <c r="B1197" s="83">
        <v>2</v>
      </c>
      <c r="C1197" s="110">
        <v>0.009286406953798294</v>
      </c>
      <c r="D1197" s="83" t="s">
        <v>1385</v>
      </c>
      <c r="E1197" s="83" t="b">
        <v>0</v>
      </c>
      <c r="F1197" s="83" t="b">
        <v>0</v>
      </c>
      <c r="G1197" s="83" t="b">
        <v>0</v>
      </c>
    </row>
    <row r="1198" spans="1:7" ht="15">
      <c r="A1198" s="84" t="s">
        <v>1437</v>
      </c>
      <c r="B1198" s="83">
        <v>4</v>
      </c>
      <c r="C1198" s="110">
        <v>0.029614507579769755</v>
      </c>
      <c r="D1198" s="83" t="s">
        <v>1386</v>
      </c>
      <c r="E1198" s="83" t="b">
        <v>0</v>
      </c>
      <c r="F1198" s="83" t="b">
        <v>0</v>
      </c>
      <c r="G1198" s="83" t="b">
        <v>0</v>
      </c>
    </row>
    <row r="1199" spans="1:7" ht="15">
      <c r="A1199" s="84" t="s">
        <v>1580</v>
      </c>
      <c r="B1199" s="83">
        <v>4</v>
      </c>
      <c r="C1199" s="110">
        <v>0.029614507579769755</v>
      </c>
      <c r="D1199" s="83" t="s">
        <v>1386</v>
      </c>
      <c r="E1199" s="83" t="b">
        <v>0</v>
      </c>
      <c r="F1199" s="83" t="b">
        <v>0</v>
      </c>
      <c r="G1199" s="83" t="b">
        <v>0</v>
      </c>
    </row>
    <row r="1200" spans="1:7" ht="15">
      <c r="A1200" s="84" t="s">
        <v>1478</v>
      </c>
      <c r="B1200" s="83">
        <v>4</v>
      </c>
      <c r="C1200" s="110">
        <v>0.017573307753210504</v>
      </c>
      <c r="D1200" s="83" t="s">
        <v>1386</v>
      </c>
      <c r="E1200" s="83" t="b">
        <v>0</v>
      </c>
      <c r="F1200" s="83" t="b">
        <v>0</v>
      </c>
      <c r="G1200" s="83" t="b">
        <v>0</v>
      </c>
    </row>
    <row r="1201" spans="1:7" ht="15">
      <c r="A1201" s="84" t="s">
        <v>1644</v>
      </c>
      <c r="B1201" s="83">
        <v>4</v>
      </c>
      <c r="C1201" s="110">
        <v>0.029614507579769755</v>
      </c>
      <c r="D1201" s="83" t="s">
        <v>1386</v>
      </c>
      <c r="E1201" s="83" t="b">
        <v>0</v>
      </c>
      <c r="F1201" s="83" t="b">
        <v>0</v>
      </c>
      <c r="G1201" s="83" t="b">
        <v>0</v>
      </c>
    </row>
    <row r="1202" spans="1:7" ht="15">
      <c r="A1202" s="84" t="s">
        <v>1645</v>
      </c>
      <c r="B1202" s="83">
        <v>4</v>
      </c>
      <c r="C1202" s="110">
        <v>0.029614507579769755</v>
      </c>
      <c r="D1202" s="83" t="s">
        <v>1386</v>
      </c>
      <c r="E1202" s="83" t="b">
        <v>0</v>
      </c>
      <c r="F1202" s="83" t="b">
        <v>0</v>
      </c>
      <c r="G1202" s="83" t="b">
        <v>0</v>
      </c>
    </row>
    <row r="1203" spans="1:7" ht="15">
      <c r="A1203" s="84" t="s">
        <v>1507</v>
      </c>
      <c r="B1203" s="83">
        <v>4</v>
      </c>
      <c r="C1203" s="110">
        <v>0.029614507579769755</v>
      </c>
      <c r="D1203" s="83" t="s">
        <v>1386</v>
      </c>
      <c r="E1203" s="83" t="b">
        <v>0</v>
      </c>
      <c r="F1203" s="83" t="b">
        <v>0</v>
      </c>
      <c r="G1203" s="83" t="b">
        <v>0</v>
      </c>
    </row>
    <row r="1204" spans="1:7" ht="15">
      <c r="A1204" s="84" t="s">
        <v>1445</v>
      </c>
      <c r="B1204" s="83">
        <v>3</v>
      </c>
      <c r="C1204" s="110">
        <v>0.022210880684827315</v>
      </c>
      <c r="D1204" s="83" t="s">
        <v>1386</v>
      </c>
      <c r="E1204" s="83" t="b">
        <v>0</v>
      </c>
      <c r="F1204" s="83" t="b">
        <v>0</v>
      </c>
      <c r="G1204" s="83" t="b">
        <v>0</v>
      </c>
    </row>
    <row r="1205" spans="1:7" ht="15">
      <c r="A1205" s="84" t="s">
        <v>1514</v>
      </c>
      <c r="B1205" s="83">
        <v>2</v>
      </c>
      <c r="C1205" s="110">
        <v>0.014807253789884877</v>
      </c>
      <c r="D1205" s="83" t="s">
        <v>1386</v>
      </c>
      <c r="E1205" s="83" t="b">
        <v>0</v>
      </c>
      <c r="F1205" s="83" t="b">
        <v>0</v>
      </c>
      <c r="G1205" s="83" t="b">
        <v>0</v>
      </c>
    </row>
    <row r="1206" spans="1:7" ht="15">
      <c r="A1206" s="84" t="s">
        <v>1473</v>
      </c>
      <c r="B1206" s="83">
        <v>2</v>
      </c>
      <c r="C1206" s="110">
        <v>0.014807253789884877</v>
      </c>
      <c r="D1206" s="83" t="s">
        <v>1386</v>
      </c>
      <c r="E1206" s="83" t="b">
        <v>0</v>
      </c>
      <c r="F1206" s="83" t="b">
        <v>0</v>
      </c>
      <c r="G1206" s="83" t="b">
        <v>0</v>
      </c>
    </row>
    <row r="1207" spans="1:7" ht="15">
      <c r="A1207" s="84" t="s">
        <v>1754</v>
      </c>
      <c r="B1207" s="83">
        <v>2</v>
      </c>
      <c r="C1207" s="110">
        <v>0.014807253789884877</v>
      </c>
      <c r="D1207" s="83" t="s">
        <v>1386</v>
      </c>
      <c r="E1207" s="83" t="b">
        <v>1</v>
      </c>
      <c r="F1207" s="83" t="b">
        <v>0</v>
      </c>
      <c r="G1207" s="83" t="b">
        <v>0</v>
      </c>
    </row>
    <row r="1208" spans="1:7" ht="15">
      <c r="A1208" s="84" t="s">
        <v>1541</v>
      </c>
      <c r="B1208" s="83">
        <v>2</v>
      </c>
      <c r="C1208" s="110">
        <v>0.014807253789884877</v>
      </c>
      <c r="D1208" s="83" t="s">
        <v>1386</v>
      </c>
      <c r="E1208" s="83" t="b">
        <v>0</v>
      </c>
      <c r="F1208" s="83" t="b">
        <v>0</v>
      </c>
      <c r="G1208" s="83" t="b">
        <v>0</v>
      </c>
    </row>
    <row r="1209" spans="1:7" ht="15">
      <c r="A1209" s="84" t="s">
        <v>1438</v>
      </c>
      <c r="B1209" s="83">
        <v>2</v>
      </c>
      <c r="C1209" s="110">
        <v>0.014807253789884877</v>
      </c>
      <c r="D1209" s="83" t="s">
        <v>1386</v>
      </c>
      <c r="E1209" s="83" t="b">
        <v>1</v>
      </c>
      <c r="F1209" s="83" t="b">
        <v>0</v>
      </c>
      <c r="G1209" s="83" t="b">
        <v>0</v>
      </c>
    </row>
    <row r="1210" spans="1:7" ht="15">
      <c r="A1210" s="84" t="s">
        <v>2021</v>
      </c>
      <c r="B1210" s="83">
        <v>2</v>
      </c>
      <c r="C1210" s="110">
        <v>0.014807253789884877</v>
      </c>
      <c r="D1210" s="83" t="s">
        <v>1386</v>
      </c>
      <c r="E1210" s="83" t="b">
        <v>0</v>
      </c>
      <c r="F1210" s="83" t="b">
        <v>0</v>
      </c>
      <c r="G1210" s="83" t="b">
        <v>0</v>
      </c>
    </row>
    <row r="1211" spans="1:7" ht="15">
      <c r="A1211" s="84" t="s">
        <v>2022</v>
      </c>
      <c r="B1211" s="83">
        <v>2</v>
      </c>
      <c r="C1211" s="110">
        <v>0.014807253789884877</v>
      </c>
      <c r="D1211" s="83" t="s">
        <v>1386</v>
      </c>
      <c r="E1211" s="83" t="b">
        <v>0</v>
      </c>
      <c r="F1211" s="83" t="b">
        <v>0</v>
      </c>
      <c r="G1211" s="83" t="b">
        <v>0</v>
      </c>
    </row>
    <row r="1212" spans="1:7" ht="15">
      <c r="A1212" s="84" t="s">
        <v>2023</v>
      </c>
      <c r="B1212" s="83">
        <v>2</v>
      </c>
      <c r="C1212" s="110">
        <v>0.014807253789884877</v>
      </c>
      <c r="D1212" s="83" t="s">
        <v>1386</v>
      </c>
      <c r="E1212" s="83" t="b">
        <v>0</v>
      </c>
      <c r="F1212" s="83" t="b">
        <v>0</v>
      </c>
      <c r="G1212" s="83" t="b">
        <v>0</v>
      </c>
    </row>
    <row r="1213" spans="1:7" ht="15">
      <c r="A1213" s="84" t="s">
        <v>1730</v>
      </c>
      <c r="B1213" s="83">
        <v>2</v>
      </c>
      <c r="C1213" s="110">
        <v>0.014807253789884877</v>
      </c>
      <c r="D1213" s="83" t="s">
        <v>1386</v>
      </c>
      <c r="E1213" s="83" t="b">
        <v>0</v>
      </c>
      <c r="F1213" s="83" t="b">
        <v>0</v>
      </c>
      <c r="G1213" s="83" t="b">
        <v>0</v>
      </c>
    </row>
    <row r="1214" spans="1:7" ht="15">
      <c r="A1214" s="84" t="s">
        <v>1515</v>
      </c>
      <c r="B1214" s="83">
        <v>2</v>
      </c>
      <c r="C1214" s="110">
        <v>0.014807253789884877</v>
      </c>
      <c r="D1214" s="83" t="s">
        <v>1386</v>
      </c>
      <c r="E1214" s="83" t="b">
        <v>0</v>
      </c>
      <c r="F1214" s="83" t="b">
        <v>0</v>
      </c>
      <c r="G1214" s="83" t="b">
        <v>0</v>
      </c>
    </row>
    <row r="1215" spans="1:7" ht="15">
      <c r="A1215" s="84" t="s">
        <v>1718</v>
      </c>
      <c r="B1215" s="83">
        <v>2</v>
      </c>
      <c r="C1215" s="110">
        <v>0.014807253789884877</v>
      </c>
      <c r="D1215" s="83" t="s">
        <v>1386</v>
      </c>
      <c r="E1215" s="83" t="b">
        <v>0</v>
      </c>
      <c r="F1215" s="83" t="b">
        <v>0</v>
      </c>
      <c r="G1215" s="83" t="b">
        <v>0</v>
      </c>
    </row>
    <row r="1216" spans="1:7" ht="15">
      <c r="A1216" s="84" t="s">
        <v>1715</v>
      </c>
      <c r="B1216" s="83">
        <v>2</v>
      </c>
      <c r="C1216" s="110">
        <v>0.014807253789884877</v>
      </c>
      <c r="D1216" s="83" t="s">
        <v>1386</v>
      </c>
      <c r="E1216" s="83" t="b">
        <v>0</v>
      </c>
      <c r="F1216" s="83" t="b">
        <v>0</v>
      </c>
      <c r="G1216" s="83" t="b">
        <v>0</v>
      </c>
    </row>
    <row r="1217" spans="1:7" ht="15">
      <c r="A1217" s="84" t="s">
        <v>1551</v>
      </c>
      <c r="B1217" s="83">
        <v>2</v>
      </c>
      <c r="C1217" s="110">
        <v>0.020827853703164503</v>
      </c>
      <c r="D1217" s="83" t="s">
        <v>1386</v>
      </c>
      <c r="E1217" s="83" t="b">
        <v>0</v>
      </c>
      <c r="F1217" s="83" t="b">
        <v>0</v>
      </c>
      <c r="G1217" s="83" t="b">
        <v>0</v>
      </c>
    </row>
    <row r="1218" spans="1:7" ht="15">
      <c r="A1218" s="84" t="s">
        <v>1428</v>
      </c>
      <c r="B1218" s="83">
        <v>2</v>
      </c>
      <c r="C1218" s="110">
        <v>0.014807253789884877</v>
      </c>
      <c r="D1218" s="83" t="s">
        <v>1386</v>
      </c>
      <c r="E1218" s="83" t="b">
        <v>0</v>
      </c>
      <c r="F1218" s="83" t="b">
        <v>0</v>
      </c>
      <c r="G1218" s="83" t="b">
        <v>0</v>
      </c>
    </row>
    <row r="1219" spans="1:7" ht="15">
      <c r="A1219" s="84" t="s">
        <v>1542</v>
      </c>
      <c r="B1219" s="83">
        <v>2</v>
      </c>
      <c r="C1219" s="110">
        <v>0.014807253789884877</v>
      </c>
      <c r="D1219" s="83" t="s">
        <v>1386</v>
      </c>
      <c r="E1219" s="83" t="b">
        <v>1</v>
      </c>
      <c r="F1219" s="83" t="b">
        <v>0</v>
      </c>
      <c r="G1219" s="83" t="b">
        <v>0</v>
      </c>
    </row>
    <row r="1220" spans="1:7" ht="15">
      <c r="A1220" s="84" t="s">
        <v>1429</v>
      </c>
      <c r="B1220" s="83">
        <v>2</v>
      </c>
      <c r="C1220" s="110">
        <v>0.014807253789884877</v>
      </c>
      <c r="D1220" s="83" t="s">
        <v>1386</v>
      </c>
      <c r="E1220" s="83" t="b">
        <v>0</v>
      </c>
      <c r="F1220" s="83" t="b">
        <v>0</v>
      </c>
      <c r="G1220" s="83" t="b">
        <v>0</v>
      </c>
    </row>
    <row r="1221" spans="1:7" ht="15">
      <c r="A1221" s="84" t="s">
        <v>1428</v>
      </c>
      <c r="B1221" s="83">
        <v>6</v>
      </c>
      <c r="C1221" s="110">
        <v>0.05022328997049078</v>
      </c>
      <c r="D1221" s="83" t="s">
        <v>1387</v>
      </c>
      <c r="E1221" s="83" t="b">
        <v>0</v>
      </c>
      <c r="F1221" s="83" t="b">
        <v>0</v>
      </c>
      <c r="G1221" s="83" t="b">
        <v>0</v>
      </c>
    </row>
    <row r="1222" spans="1:7" ht="15">
      <c r="A1222" s="84" t="s">
        <v>1546</v>
      </c>
      <c r="B1222" s="83">
        <v>4</v>
      </c>
      <c r="C1222" s="110">
        <v>0.054607105290080254</v>
      </c>
      <c r="D1222" s="83" t="s">
        <v>1387</v>
      </c>
      <c r="E1222" s="83" t="b">
        <v>0</v>
      </c>
      <c r="F1222" s="83" t="b">
        <v>0</v>
      </c>
      <c r="G1222" s="83" t="b">
        <v>0</v>
      </c>
    </row>
    <row r="1223" spans="1:7" ht="15">
      <c r="A1223" s="84" t="s">
        <v>1734</v>
      </c>
      <c r="B1223" s="83">
        <v>3</v>
      </c>
      <c r="C1223" s="110">
        <v>0.04095532896756019</v>
      </c>
      <c r="D1223" s="83" t="s">
        <v>1387</v>
      </c>
      <c r="E1223" s="83" t="b">
        <v>0</v>
      </c>
      <c r="F1223" s="83" t="b">
        <v>0</v>
      </c>
      <c r="G1223" s="83" t="b">
        <v>0</v>
      </c>
    </row>
    <row r="1224" spans="1:7" ht="15">
      <c r="A1224" s="84" t="s">
        <v>1535</v>
      </c>
      <c r="B1224" s="83">
        <v>2</v>
      </c>
      <c r="C1224" s="110">
        <v>0.027303552645040127</v>
      </c>
      <c r="D1224" s="83" t="s">
        <v>1387</v>
      </c>
      <c r="E1224" s="83" t="b">
        <v>0</v>
      </c>
      <c r="F1224" s="83" t="b">
        <v>0</v>
      </c>
      <c r="G1224" s="83" t="b">
        <v>0</v>
      </c>
    </row>
    <row r="1225" spans="1:7" ht="15">
      <c r="A1225" s="84" t="s">
        <v>1437</v>
      </c>
      <c r="B1225" s="83">
        <v>2</v>
      </c>
      <c r="C1225" s="110">
        <v>0.027303552645040127</v>
      </c>
      <c r="D1225" s="83" t="s">
        <v>1387</v>
      </c>
      <c r="E1225" s="83" t="b">
        <v>0</v>
      </c>
      <c r="F1225" s="83" t="b">
        <v>0</v>
      </c>
      <c r="G1225" s="83" t="b">
        <v>0</v>
      </c>
    </row>
    <row r="1226" spans="1:7" ht="15">
      <c r="A1226" s="84" t="s">
        <v>1965</v>
      </c>
      <c r="B1226" s="83">
        <v>2</v>
      </c>
      <c r="C1226" s="110">
        <v>0.01674109665683026</v>
      </c>
      <c r="D1226" s="83" t="s">
        <v>1387</v>
      </c>
      <c r="E1226" s="83" t="b">
        <v>1</v>
      </c>
      <c r="F1226" s="83" t="b">
        <v>0</v>
      </c>
      <c r="G1226" s="83" t="b">
        <v>0</v>
      </c>
    </row>
    <row r="1227" spans="1:7" ht="15">
      <c r="A1227" s="84" t="s">
        <v>1540</v>
      </c>
      <c r="B1227" s="83">
        <v>2</v>
      </c>
      <c r="C1227" s="110">
        <v>0.01674109665683026</v>
      </c>
      <c r="D1227" s="83" t="s">
        <v>1387</v>
      </c>
      <c r="E1227" s="83" t="b">
        <v>0</v>
      </c>
      <c r="F1227" s="83" t="b">
        <v>0</v>
      </c>
      <c r="G1227" s="83" t="b">
        <v>0</v>
      </c>
    </row>
    <row r="1228" spans="1:7" ht="15">
      <c r="A1228" s="84" t="s">
        <v>1436</v>
      </c>
      <c r="B1228" s="83">
        <v>3</v>
      </c>
      <c r="C1228" s="110">
        <v>0.05428962211978909</v>
      </c>
      <c r="D1228" s="83" t="s">
        <v>1388</v>
      </c>
      <c r="E1228" s="83" t="b">
        <v>0</v>
      </c>
      <c r="F1228" s="83" t="b">
        <v>0</v>
      </c>
      <c r="G1228" s="83" t="b">
        <v>0</v>
      </c>
    </row>
    <row r="1229" spans="1:7" ht="15">
      <c r="A1229" s="84" t="s">
        <v>1611</v>
      </c>
      <c r="B1229" s="83">
        <v>3</v>
      </c>
      <c r="C1229" s="110">
        <v>0.05428962211978909</v>
      </c>
      <c r="D1229" s="83" t="s">
        <v>1388</v>
      </c>
      <c r="E1229" s="83" t="b">
        <v>0</v>
      </c>
      <c r="F1229" s="83" t="b">
        <v>0</v>
      </c>
      <c r="G1229" s="83" t="b">
        <v>0</v>
      </c>
    </row>
    <row r="1230" spans="1:7" ht="15">
      <c r="A1230" s="84" t="s">
        <v>1471</v>
      </c>
      <c r="B1230" s="83">
        <v>2</v>
      </c>
      <c r="C1230" s="110">
        <v>0.02219168626603081</v>
      </c>
      <c r="D1230" s="83" t="s">
        <v>1388</v>
      </c>
      <c r="E1230" s="83" t="b">
        <v>0</v>
      </c>
      <c r="F1230" s="83" t="b">
        <v>0</v>
      </c>
      <c r="G1230" s="83" t="b">
        <v>0</v>
      </c>
    </row>
    <row r="1231" spans="1:7" ht="15">
      <c r="A1231" s="84" t="s">
        <v>1466</v>
      </c>
      <c r="B1231" s="83">
        <v>2</v>
      </c>
      <c r="C1231" s="110">
        <v>0.036193081413192725</v>
      </c>
      <c r="D1231" s="83" t="s">
        <v>1388</v>
      </c>
      <c r="E1231" s="83" t="b">
        <v>0</v>
      </c>
      <c r="F1231" s="83" t="b">
        <v>0</v>
      </c>
      <c r="G1231" s="83" t="b">
        <v>0</v>
      </c>
    </row>
    <row r="1232" spans="1:7" ht="15">
      <c r="A1232" s="84" t="s">
        <v>1569</v>
      </c>
      <c r="B1232" s="83">
        <v>2</v>
      </c>
      <c r="C1232" s="110">
        <v>0.036193081413192725</v>
      </c>
      <c r="D1232" s="83" t="s">
        <v>1388</v>
      </c>
      <c r="E1232" s="83" t="b">
        <v>0</v>
      </c>
      <c r="F1232" s="83" t="b">
        <v>0</v>
      </c>
      <c r="G1232" s="83" t="b">
        <v>0</v>
      </c>
    </row>
    <row r="1233" spans="1:7" ht="15">
      <c r="A1233" s="84" t="s">
        <v>1919</v>
      </c>
      <c r="B1233" s="83">
        <v>2</v>
      </c>
      <c r="C1233" s="110">
        <v>0.008190291118868894</v>
      </c>
      <c r="D1233" s="83" t="s">
        <v>1389</v>
      </c>
      <c r="E1233" s="83" t="b">
        <v>0</v>
      </c>
      <c r="F1233" s="83" t="b">
        <v>0</v>
      </c>
      <c r="G1233" s="83" t="b">
        <v>0</v>
      </c>
    </row>
    <row r="1234" spans="1:7" ht="15">
      <c r="A1234" s="84" t="s">
        <v>1920</v>
      </c>
      <c r="B1234" s="83">
        <v>2</v>
      </c>
      <c r="C1234" s="110">
        <v>0.02219168626603081</v>
      </c>
      <c r="D1234" s="83" t="s">
        <v>1389</v>
      </c>
      <c r="E1234" s="83" t="b">
        <v>0</v>
      </c>
      <c r="F1234" s="83" t="b">
        <v>0</v>
      </c>
      <c r="G1234" s="83" t="b">
        <v>0</v>
      </c>
    </row>
    <row r="1235" spans="1:7" ht="15">
      <c r="A1235" s="84" t="s">
        <v>1753</v>
      </c>
      <c r="B1235" s="83">
        <v>3</v>
      </c>
      <c r="C1235" s="110">
        <v>0.031074928068649633</v>
      </c>
      <c r="D1235" s="83" t="s">
        <v>1390</v>
      </c>
      <c r="E1235" s="83" t="b">
        <v>0</v>
      </c>
      <c r="F1235" s="83" t="b">
        <v>0</v>
      </c>
      <c r="G1235" s="83" t="b">
        <v>0</v>
      </c>
    </row>
    <row r="1236" spans="1:7" ht="15">
      <c r="A1236" s="84" t="s">
        <v>1459</v>
      </c>
      <c r="B1236" s="83">
        <v>2</v>
      </c>
      <c r="C1236" s="110">
        <v>0</v>
      </c>
      <c r="D1236" s="83" t="s">
        <v>1392</v>
      </c>
      <c r="E1236" s="83" t="b">
        <v>0</v>
      </c>
      <c r="F1236" s="83" t="b">
        <v>0</v>
      </c>
      <c r="G1236" s="83" t="b">
        <v>0</v>
      </c>
    </row>
    <row r="1237" spans="1:7" ht="15">
      <c r="A1237" s="84" t="s">
        <v>1976</v>
      </c>
      <c r="B1237" s="83">
        <v>2</v>
      </c>
      <c r="C1237" s="110">
        <v>0</v>
      </c>
      <c r="D1237" s="83" t="s">
        <v>1393</v>
      </c>
      <c r="E1237" s="83" t="b">
        <v>0</v>
      </c>
      <c r="F1237" s="83" t="b">
        <v>0</v>
      </c>
      <c r="G1237" s="83" t="b">
        <v>0</v>
      </c>
    </row>
    <row r="1238" spans="1:7" ht="15">
      <c r="A1238" s="84" t="s">
        <v>1429</v>
      </c>
      <c r="B1238" s="83">
        <v>6</v>
      </c>
      <c r="C1238" s="110">
        <v>0.015155905660299642</v>
      </c>
      <c r="D1238" s="83" t="s">
        <v>1394</v>
      </c>
      <c r="E1238" s="83" t="b">
        <v>0</v>
      </c>
      <c r="F1238" s="83" t="b">
        <v>0</v>
      </c>
      <c r="G1238" s="83" t="b">
        <v>0</v>
      </c>
    </row>
    <row r="1239" spans="1:7" ht="15">
      <c r="A1239" s="84" t="s">
        <v>1432</v>
      </c>
      <c r="B1239" s="83">
        <v>6</v>
      </c>
      <c r="C1239" s="110">
        <v>0.028985507246376812</v>
      </c>
      <c r="D1239" s="83" t="s">
        <v>1394</v>
      </c>
      <c r="E1239" s="83" t="b">
        <v>0</v>
      </c>
      <c r="F1239" s="83" t="b">
        <v>0</v>
      </c>
      <c r="G1239" s="83" t="b">
        <v>0</v>
      </c>
    </row>
    <row r="1240" spans="1:7" ht="15">
      <c r="A1240" s="84" t="s">
        <v>1527</v>
      </c>
      <c r="B1240" s="83">
        <v>5</v>
      </c>
      <c r="C1240" s="110">
        <v>0.01688333343806809</v>
      </c>
      <c r="D1240" s="83" t="s">
        <v>1394</v>
      </c>
      <c r="E1240" s="83" t="b">
        <v>0</v>
      </c>
      <c r="F1240" s="83" t="b">
        <v>0</v>
      </c>
      <c r="G1240" s="83" t="b">
        <v>0</v>
      </c>
    </row>
    <row r="1241" spans="1:7" ht="15">
      <c r="A1241" s="84" t="s">
        <v>1430</v>
      </c>
      <c r="B1241" s="83">
        <v>5</v>
      </c>
      <c r="C1241" s="110">
        <v>0.01688333343806809</v>
      </c>
      <c r="D1241" s="83" t="s">
        <v>1394</v>
      </c>
      <c r="E1241" s="83" t="b">
        <v>0</v>
      </c>
      <c r="F1241" s="83" t="b">
        <v>0</v>
      </c>
      <c r="G1241" s="83" t="b">
        <v>0</v>
      </c>
    </row>
    <row r="1242" spans="1:7" ht="15">
      <c r="A1242" s="84" t="s">
        <v>1481</v>
      </c>
      <c r="B1242" s="83">
        <v>5</v>
      </c>
      <c r="C1242" s="110">
        <v>0.01688333343806809</v>
      </c>
      <c r="D1242" s="83" t="s">
        <v>1394</v>
      </c>
      <c r="E1242" s="83" t="b">
        <v>0</v>
      </c>
      <c r="F1242" s="83" t="b">
        <v>0</v>
      </c>
      <c r="G1242" s="83" t="b">
        <v>0</v>
      </c>
    </row>
    <row r="1243" spans="1:7" ht="15">
      <c r="A1243" s="84" t="s">
        <v>1506</v>
      </c>
      <c r="B1243" s="83">
        <v>5</v>
      </c>
      <c r="C1243" s="110">
        <v>0.01688333343806809</v>
      </c>
      <c r="D1243" s="83" t="s">
        <v>1394</v>
      </c>
      <c r="E1243" s="83" t="b">
        <v>0</v>
      </c>
      <c r="F1243" s="83" t="b">
        <v>0</v>
      </c>
      <c r="G1243" s="83" t="b">
        <v>0</v>
      </c>
    </row>
    <row r="1244" spans="1:7" ht="15">
      <c r="A1244" s="84" t="s">
        <v>1471</v>
      </c>
      <c r="B1244" s="83">
        <v>4</v>
      </c>
      <c r="C1244" s="110">
        <v>0.010103937106866428</v>
      </c>
      <c r="D1244" s="83" t="s">
        <v>1394</v>
      </c>
      <c r="E1244" s="83" t="b">
        <v>0</v>
      </c>
      <c r="F1244" s="83" t="b">
        <v>0</v>
      </c>
      <c r="G1244" s="83" t="b">
        <v>0</v>
      </c>
    </row>
    <row r="1245" spans="1:7" ht="15">
      <c r="A1245" s="84" t="s">
        <v>1434</v>
      </c>
      <c r="B1245" s="83">
        <v>4</v>
      </c>
      <c r="C1245" s="110">
        <v>0.01350666675045447</v>
      </c>
      <c r="D1245" s="83" t="s">
        <v>1394</v>
      </c>
      <c r="E1245" s="83" t="b">
        <v>0</v>
      </c>
      <c r="F1245" s="83" t="b">
        <v>0</v>
      </c>
      <c r="G1245" s="83" t="b">
        <v>0</v>
      </c>
    </row>
    <row r="1246" spans="1:7" ht="15">
      <c r="A1246" s="84" t="s">
        <v>1431</v>
      </c>
      <c r="B1246" s="83">
        <v>4</v>
      </c>
      <c r="C1246" s="110">
        <v>0.01932367149758454</v>
      </c>
      <c r="D1246" s="83" t="s">
        <v>1394</v>
      </c>
      <c r="E1246" s="83" t="b">
        <v>0</v>
      </c>
      <c r="F1246" s="83" t="b">
        <v>0</v>
      </c>
      <c r="G1246" s="83" t="b">
        <v>0</v>
      </c>
    </row>
    <row r="1247" spans="1:7" ht="15">
      <c r="A1247" s="84" t="s">
        <v>1450</v>
      </c>
      <c r="B1247" s="83">
        <v>4</v>
      </c>
      <c r="C1247" s="110">
        <v>0.010103937106866428</v>
      </c>
      <c r="D1247" s="83" t="s">
        <v>1394</v>
      </c>
      <c r="E1247" s="83" t="b">
        <v>0</v>
      </c>
      <c r="F1247" s="83" t="b">
        <v>0</v>
      </c>
      <c r="G1247" s="83" t="b">
        <v>0</v>
      </c>
    </row>
    <row r="1248" spans="1:7" ht="15">
      <c r="A1248" s="84" t="s">
        <v>1646</v>
      </c>
      <c r="B1248" s="83">
        <v>4</v>
      </c>
      <c r="C1248" s="110">
        <v>0.01350666675045447</v>
      </c>
      <c r="D1248" s="83" t="s">
        <v>1394</v>
      </c>
      <c r="E1248" s="83" t="b">
        <v>0</v>
      </c>
      <c r="F1248" s="83" t="b">
        <v>0</v>
      </c>
      <c r="G1248" s="83" t="b">
        <v>0</v>
      </c>
    </row>
    <row r="1249" spans="1:7" ht="15">
      <c r="A1249" s="84" t="s">
        <v>1428</v>
      </c>
      <c r="B1249" s="83">
        <v>3</v>
      </c>
      <c r="C1249" s="110">
        <v>0.010130000062840852</v>
      </c>
      <c r="D1249" s="83" t="s">
        <v>1394</v>
      </c>
      <c r="E1249" s="83" t="b">
        <v>0</v>
      </c>
      <c r="F1249" s="83" t="b">
        <v>0</v>
      </c>
      <c r="G1249" s="83" t="b">
        <v>0</v>
      </c>
    </row>
    <row r="1250" spans="1:7" ht="15">
      <c r="A1250" s="84" t="s">
        <v>1582</v>
      </c>
      <c r="B1250" s="83">
        <v>3</v>
      </c>
      <c r="C1250" s="110">
        <v>0.014492753623188406</v>
      </c>
      <c r="D1250" s="83" t="s">
        <v>1394</v>
      </c>
      <c r="E1250" s="83" t="b">
        <v>0</v>
      </c>
      <c r="F1250" s="83" t="b">
        <v>0</v>
      </c>
      <c r="G1250" s="83" t="b">
        <v>0</v>
      </c>
    </row>
    <row r="1251" spans="1:7" ht="15">
      <c r="A1251" s="84" t="s">
        <v>1758</v>
      </c>
      <c r="B1251" s="83">
        <v>3</v>
      </c>
      <c r="C1251" s="110">
        <v>0.014492753623188406</v>
      </c>
      <c r="D1251" s="83" t="s">
        <v>1394</v>
      </c>
      <c r="E1251" s="83" t="b">
        <v>0</v>
      </c>
      <c r="F1251" s="83" t="b">
        <v>0</v>
      </c>
      <c r="G1251" s="83" t="b">
        <v>0</v>
      </c>
    </row>
    <row r="1252" spans="1:7" ht="15">
      <c r="A1252" s="84" t="s">
        <v>1759</v>
      </c>
      <c r="B1252" s="83">
        <v>3</v>
      </c>
      <c r="C1252" s="110">
        <v>0.014492753623188406</v>
      </c>
      <c r="D1252" s="83" t="s">
        <v>1394</v>
      </c>
      <c r="E1252" s="83" t="b">
        <v>0</v>
      </c>
      <c r="F1252" s="83" t="b">
        <v>0</v>
      </c>
      <c r="G1252" s="83" t="b">
        <v>0</v>
      </c>
    </row>
    <row r="1253" spans="1:7" ht="15">
      <c r="A1253" s="84" t="s">
        <v>1460</v>
      </c>
      <c r="B1253" s="83">
        <v>3</v>
      </c>
      <c r="C1253" s="110">
        <v>0.014492753623188406</v>
      </c>
      <c r="D1253" s="83" t="s">
        <v>1394</v>
      </c>
      <c r="E1253" s="83" t="b">
        <v>0</v>
      </c>
      <c r="F1253" s="83" t="b">
        <v>0</v>
      </c>
      <c r="G1253" s="83" t="b">
        <v>0</v>
      </c>
    </row>
    <row r="1254" spans="1:7" ht="15">
      <c r="A1254" s="84" t="s">
        <v>1448</v>
      </c>
      <c r="B1254" s="83">
        <v>3</v>
      </c>
      <c r="C1254" s="110">
        <v>0.014492753623188406</v>
      </c>
      <c r="D1254" s="83" t="s">
        <v>1394</v>
      </c>
      <c r="E1254" s="83" t="b">
        <v>0</v>
      </c>
      <c r="F1254" s="83" t="b">
        <v>0</v>
      </c>
      <c r="G1254" s="83" t="b">
        <v>0</v>
      </c>
    </row>
    <row r="1255" spans="1:7" ht="15">
      <c r="A1255" s="84" t="s">
        <v>1465</v>
      </c>
      <c r="B1255" s="83">
        <v>3</v>
      </c>
      <c r="C1255" s="110">
        <v>0.010130000062840852</v>
      </c>
      <c r="D1255" s="83" t="s">
        <v>1394</v>
      </c>
      <c r="E1255" s="83" t="b">
        <v>0</v>
      </c>
      <c r="F1255" s="83" t="b">
        <v>0</v>
      </c>
      <c r="G1255" s="83" t="b">
        <v>0</v>
      </c>
    </row>
    <row r="1256" spans="1:7" ht="15">
      <c r="A1256" s="84" t="s">
        <v>1760</v>
      </c>
      <c r="B1256" s="83">
        <v>3</v>
      </c>
      <c r="C1256" s="110">
        <v>0.010130000062840852</v>
      </c>
      <c r="D1256" s="83" t="s">
        <v>1394</v>
      </c>
      <c r="E1256" s="83" t="b">
        <v>0</v>
      </c>
      <c r="F1256" s="83" t="b">
        <v>0</v>
      </c>
      <c r="G1256" s="83" t="b">
        <v>0</v>
      </c>
    </row>
    <row r="1257" spans="1:7" ht="15">
      <c r="A1257" s="84" t="s">
        <v>1511</v>
      </c>
      <c r="B1257" s="83">
        <v>2</v>
      </c>
      <c r="C1257" s="110">
        <v>0.006753333375227235</v>
      </c>
      <c r="D1257" s="83" t="s">
        <v>1394</v>
      </c>
      <c r="E1257" s="83" t="b">
        <v>0</v>
      </c>
      <c r="F1257" s="83" t="b">
        <v>0</v>
      </c>
      <c r="G1257" s="83" t="b">
        <v>0</v>
      </c>
    </row>
    <row r="1258" spans="1:7" ht="15">
      <c r="A1258" s="84" t="s">
        <v>1459</v>
      </c>
      <c r="B1258" s="83">
        <v>2</v>
      </c>
      <c r="C1258" s="110">
        <v>0.006753333375227235</v>
      </c>
      <c r="D1258" s="83" t="s">
        <v>1394</v>
      </c>
      <c r="E1258" s="83" t="b">
        <v>0</v>
      </c>
      <c r="F1258" s="83" t="b">
        <v>0</v>
      </c>
      <c r="G1258" s="83" t="b">
        <v>0</v>
      </c>
    </row>
    <row r="1259" spans="1:7" ht="15">
      <c r="A1259" s="84" t="s">
        <v>1501</v>
      </c>
      <c r="B1259" s="83">
        <v>2</v>
      </c>
      <c r="C1259" s="110">
        <v>0.00966183574879227</v>
      </c>
      <c r="D1259" s="83" t="s">
        <v>1394</v>
      </c>
      <c r="E1259" s="83" t="b">
        <v>0</v>
      </c>
      <c r="F1259" s="83" t="b">
        <v>0</v>
      </c>
      <c r="G1259" s="83" t="b">
        <v>0</v>
      </c>
    </row>
    <row r="1260" spans="1:7" ht="15">
      <c r="A1260" s="84" t="s">
        <v>1477</v>
      </c>
      <c r="B1260" s="83">
        <v>2</v>
      </c>
      <c r="C1260" s="110">
        <v>0.00966183574879227</v>
      </c>
      <c r="D1260" s="83" t="s">
        <v>1394</v>
      </c>
      <c r="E1260" s="83" t="b">
        <v>0</v>
      </c>
      <c r="F1260" s="83" t="b">
        <v>0</v>
      </c>
      <c r="G1260" s="83" t="b">
        <v>0</v>
      </c>
    </row>
    <row r="1261" spans="1:7" ht="15">
      <c r="A1261" s="84" t="s">
        <v>2035</v>
      </c>
      <c r="B1261" s="83">
        <v>2</v>
      </c>
      <c r="C1261" s="110">
        <v>0.00966183574879227</v>
      </c>
      <c r="D1261" s="83" t="s">
        <v>1394</v>
      </c>
      <c r="E1261" s="83" t="b">
        <v>0</v>
      </c>
      <c r="F1261" s="83" t="b">
        <v>0</v>
      </c>
      <c r="G1261" s="83" t="b">
        <v>0</v>
      </c>
    </row>
    <row r="1262" spans="1:7" ht="15">
      <c r="A1262" s="84" t="s">
        <v>2036</v>
      </c>
      <c r="B1262" s="83">
        <v>2</v>
      </c>
      <c r="C1262" s="110">
        <v>0.00966183574879227</v>
      </c>
      <c r="D1262" s="83" t="s">
        <v>1394</v>
      </c>
      <c r="E1262" s="83" t="b">
        <v>0</v>
      </c>
      <c r="F1262" s="83" t="b">
        <v>0</v>
      </c>
      <c r="G1262" s="83" t="b">
        <v>0</v>
      </c>
    </row>
    <row r="1263" spans="1:7" ht="15">
      <c r="A1263" s="84" t="s">
        <v>1738</v>
      </c>
      <c r="B1263" s="83">
        <v>2</v>
      </c>
      <c r="C1263" s="110">
        <v>0.00966183574879227</v>
      </c>
      <c r="D1263" s="83" t="s">
        <v>1394</v>
      </c>
      <c r="E1263" s="83" t="b">
        <v>0</v>
      </c>
      <c r="F1263" s="83" t="b">
        <v>0</v>
      </c>
      <c r="G1263" s="83" t="b">
        <v>0</v>
      </c>
    </row>
    <row r="1264" spans="1:7" ht="15">
      <c r="A1264" s="84" t="s">
        <v>1701</v>
      </c>
      <c r="B1264" s="83">
        <v>2</v>
      </c>
      <c r="C1264" s="110">
        <v>0.00966183574879227</v>
      </c>
      <c r="D1264" s="83" t="s">
        <v>1394</v>
      </c>
      <c r="E1264" s="83" t="b">
        <v>0</v>
      </c>
      <c r="F1264" s="83" t="b">
        <v>0</v>
      </c>
      <c r="G1264" s="83" t="b">
        <v>0</v>
      </c>
    </row>
    <row r="1265" spans="1:7" ht="15">
      <c r="A1265" s="84" t="s">
        <v>2037</v>
      </c>
      <c r="B1265" s="83">
        <v>2</v>
      </c>
      <c r="C1265" s="110">
        <v>0.00966183574879227</v>
      </c>
      <c r="D1265" s="83" t="s">
        <v>1394</v>
      </c>
      <c r="E1265" s="83" t="b">
        <v>0</v>
      </c>
      <c r="F1265" s="83" t="b">
        <v>0</v>
      </c>
      <c r="G1265" s="83" t="b">
        <v>0</v>
      </c>
    </row>
    <row r="1266" spans="1:7" ht="15">
      <c r="A1266" s="84" t="s">
        <v>1449</v>
      </c>
      <c r="B1266" s="83">
        <v>2</v>
      </c>
      <c r="C1266" s="110">
        <v>0.00966183574879227</v>
      </c>
      <c r="D1266" s="83" t="s">
        <v>1394</v>
      </c>
      <c r="E1266" s="83" t="b">
        <v>0</v>
      </c>
      <c r="F1266" s="83" t="b">
        <v>0</v>
      </c>
      <c r="G1266" s="83" t="b">
        <v>0</v>
      </c>
    </row>
    <row r="1267" spans="1:7" ht="15">
      <c r="A1267" s="84" t="s">
        <v>1474</v>
      </c>
      <c r="B1267" s="83">
        <v>2</v>
      </c>
      <c r="C1267" s="110">
        <v>0.00966183574879227</v>
      </c>
      <c r="D1267" s="83" t="s">
        <v>1394</v>
      </c>
      <c r="E1267" s="83" t="b">
        <v>0</v>
      </c>
      <c r="F1267" s="83" t="b">
        <v>0</v>
      </c>
      <c r="G1267" s="83" t="b">
        <v>0</v>
      </c>
    </row>
    <row r="1268" spans="1:7" ht="15">
      <c r="A1268" s="84" t="s">
        <v>2038</v>
      </c>
      <c r="B1268" s="83">
        <v>2</v>
      </c>
      <c r="C1268" s="110">
        <v>0.00966183574879227</v>
      </c>
      <c r="D1268" s="83" t="s">
        <v>1394</v>
      </c>
      <c r="E1268" s="83" t="b">
        <v>0</v>
      </c>
      <c r="F1268" s="83" t="b">
        <v>0</v>
      </c>
      <c r="G1268" s="83" t="b">
        <v>0</v>
      </c>
    </row>
    <row r="1269" spans="1:7" ht="15">
      <c r="A1269" s="84" t="s">
        <v>1545</v>
      </c>
      <c r="B1269" s="83">
        <v>2</v>
      </c>
      <c r="C1269" s="110">
        <v>0.00966183574879227</v>
      </c>
      <c r="D1269" s="83" t="s">
        <v>1394</v>
      </c>
      <c r="E1269" s="83" t="b">
        <v>0</v>
      </c>
      <c r="F1269" s="83" t="b">
        <v>0</v>
      </c>
      <c r="G1269" s="83" t="b">
        <v>0</v>
      </c>
    </row>
    <row r="1270" spans="1:7" ht="15">
      <c r="A1270" s="84" t="s">
        <v>2044</v>
      </c>
      <c r="B1270" s="83">
        <v>2</v>
      </c>
      <c r="C1270" s="110">
        <v>0.00966183574879227</v>
      </c>
      <c r="D1270" s="83" t="s">
        <v>1394</v>
      </c>
      <c r="E1270" s="83" t="b">
        <v>0</v>
      </c>
      <c r="F1270" s="83" t="b">
        <v>0</v>
      </c>
      <c r="G1270" s="83" t="b">
        <v>0</v>
      </c>
    </row>
    <row r="1271" spans="1:7" ht="15">
      <c r="A1271" s="84" t="s">
        <v>2045</v>
      </c>
      <c r="B1271" s="83">
        <v>2</v>
      </c>
      <c r="C1271" s="110">
        <v>0.00966183574879227</v>
      </c>
      <c r="D1271" s="83" t="s">
        <v>1394</v>
      </c>
      <c r="E1271" s="83" t="b">
        <v>0</v>
      </c>
      <c r="F1271" s="83" t="b">
        <v>0</v>
      </c>
      <c r="G1271" s="83" t="b">
        <v>0</v>
      </c>
    </row>
    <row r="1272" spans="1:7" ht="15">
      <c r="A1272" s="84" t="s">
        <v>1558</v>
      </c>
      <c r="B1272" s="83">
        <v>2</v>
      </c>
      <c r="C1272" s="110">
        <v>0.00966183574879227</v>
      </c>
      <c r="D1272" s="83" t="s">
        <v>1394</v>
      </c>
      <c r="E1272" s="83" t="b">
        <v>0</v>
      </c>
      <c r="F1272" s="83" t="b">
        <v>0</v>
      </c>
      <c r="G1272" s="83" t="b">
        <v>0</v>
      </c>
    </row>
    <row r="1273" spans="1:7" ht="15">
      <c r="A1273" s="84" t="s">
        <v>1544</v>
      </c>
      <c r="B1273" s="83">
        <v>2</v>
      </c>
      <c r="C1273" s="110">
        <v>0.00966183574879227</v>
      </c>
      <c r="D1273" s="83" t="s">
        <v>1394</v>
      </c>
      <c r="E1273" s="83" t="b">
        <v>0</v>
      </c>
      <c r="F1273" s="83" t="b">
        <v>0</v>
      </c>
      <c r="G1273" s="83" t="b">
        <v>0</v>
      </c>
    </row>
    <row r="1274" spans="1:7" ht="15">
      <c r="A1274" s="84" t="s">
        <v>2043</v>
      </c>
      <c r="B1274" s="83">
        <v>2</v>
      </c>
      <c r="C1274" s="110">
        <v>0.00966183574879227</v>
      </c>
      <c r="D1274" s="83" t="s">
        <v>1394</v>
      </c>
      <c r="E1274" s="83" t="b">
        <v>0</v>
      </c>
      <c r="F1274" s="83" t="b">
        <v>0</v>
      </c>
      <c r="G1274" s="83" t="b">
        <v>0</v>
      </c>
    </row>
    <row r="1275" spans="1:7" ht="15">
      <c r="A1275" s="84" t="s">
        <v>1457</v>
      </c>
      <c r="B1275" s="83">
        <v>2</v>
      </c>
      <c r="C1275" s="110">
        <v>0.00966183574879227</v>
      </c>
      <c r="D1275" s="83" t="s">
        <v>1394</v>
      </c>
      <c r="E1275" s="83" t="b">
        <v>0</v>
      </c>
      <c r="F1275" s="83" t="b">
        <v>0</v>
      </c>
      <c r="G1275" s="83" t="b">
        <v>0</v>
      </c>
    </row>
    <row r="1276" spans="1:7" ht="15">
      <c r="A1276" s="84" t="s">
        <v>1696</v>
      </c>
      <c r="B1276" s="83">
        <v>2</v>
      </c>
      <c r="C1276" s="110">
        <v>0.00966183574879227</v>
      </c>
      <c r="D1276" s="83" t="s">
        <v>1394</v>
      </c>
      <c r="E1276" s="83" t="b">
        <v>0</v>
      </c>
      <c r="F1276" s="83" t="b">
        <v>0</v>
      </c>
      <c r="G1276" s="83" t="b">
        <v>0</v>
      </c>
    </row>
    <row r="1277" spans="1:7" ht="15">
      <c r="A1277" s="84" t="s">
        <v>2042</v>
      </c>
      <c r="B1277" s="83">
        <v>2</v>
      </c>
      <c r="C1277" s="110">
        <v>0.00966183574879227</v>
      </c>
      <c r="D1277" s="83" t="s">
        <v>1394</v>
      </c>
      <c r="E1277" s="83" t="b">
        <v>0</v>
      </c>
      <c r="F1277" s="83" t="b">
        <v>0</v>
      </c>
      <c r="G1277" s="83" t="b">
        <v>0</v>
      </c>
    </row>
    <row r="1278" spans="1:7" ht="15">
      <c r="A1278" s="84" t="s">
        <v>1479</v>
      </c>
      <c r="B1278" s="83">
        <v>2</v>
      </c>
      <c r="C1278" s="110">
        <v>0.00966183574879227</v>
      </c>
      <c r="D1278" s="83" t="s">
        <v>1394</v>
      </c>
      <c r="E1278" s="83" t="b">
        <v>0</v>
      </c>
      <c r="F1278" s="83" t="b">
        <v>0</v>
      </c>
      <c r="G1278" s="83" t="b">
        <v>0</v>
      </c>
    </row>
    <row r="1279" spans="1:7" ht="15">
      <c r="A1279" s="84" t="s">
        <v>1446</v>
      </c>
      <c r="B1279" s="83">
        <v>2</v>
      </c>
      <c r="C1279" s="110">
        <v>0.00966183574879227</v>
      </c>
      <c r="D1279" s="83" t="s">
        <v>1394</v>
      </c>
      <c r="E1279" s="83" t="b">
        <v>0</v>
      </c>
      <c r="F1279" s="83" t="b">
        <v>0</v>
      </c>
      <c r="G1279" s="83" t="b">
        <v>0</v>
      </c>
    </row>
    <row r="1280" spans="1:7" ht="15">
      <c r="A1280" s="84" t="s">
        <v>1480</v>
      </c>
      <c r="B1280" s="83">
        <v>2</v>
      </c>
      <c r="C1280" s="110">
        <v>0.00966183574879227</v>
      </c>
      <c r="D1280" s="83" t="s">
        <v>1394</v>
      </c>
      <c r="E1280" s="83" t="b">
        <v>0</v>
      </c>
      <c r="F1280" s="83" t="b">
        <v>0</v>
      </c>
      <c r="G1280" s="83" t="b">
        <v>0</v>
      </c>
    </row>
    <row r="1281" spans="1:7" ht="15">
      <c r="A1281" s="84" t="s">
        <v>1639</v>
      </c>
      <c r="B1281" s="83">
        <v>2</v>
      </c>
      <c r="C1281" s="110">
        <v>0.00966183574879227</v>
      </c>
      <c r="D1281" s="83" t="s">
        <v>1394</v>
      </c>
      <c r="E1281" s="83" t="b">
        <v>0</v>
      </c>
      <c r="F1281" s="83" t="b">
        <v>0</v>
      </c>
      <c r="G1281" s="83" t="b">
        <v>0</v>
      </c>
    </row>
    <row r="1282" spans="1:7" ht="15">
      <c r="A1282" s="84" t="s">
        <v>2041</v>
      </c>
      <c r="B1282" s="83">
        <v>2</v>
      </c>
      <c r="C1282" s="110">
        <v>0.00966183574879227</v>
      </c>
      <c r="D1282" s="83" t="s">
        <v>1394</v>
      </c>
      <c r="E1282" s="83" t="b">
        <v>0</v>
      </c>
      <c r="F1282" s="83" t="b">
        <v>0</v>
      </c>
      <c r="G1282" s="83" t="b">
        <v>0</v>
      </c>
    </row>
    <row r="1283" spans="1:7" ht="15">
      <c r="A1283" s="84" t="s">
        <v>2039</v>
      </c>
      <c r="B1283" s="83">
        <v>2</v>
      </c>
      <c r="C1283" s="110">
        <v>0.00966183574879227</v>
      </c>
      <c r="D1283" s="83" t="s">
        <v>1394</v>
      </c>
      <c r="E1283" s="83" t="b">
        <v>0</v>
      </c>
      <c r="F1283" s="83" t="b">
        <v>0</v>
      </c>
      <c r="G1283" s="83" t="b">
        <v>0</v>
      </c>
    </row>
    <row r="1284" spans="1:7" ht="15">
      <c r="A1284" s="84" t="s">
        <v>2040</v>
      </c>
      <c r="B1284" s="83">
        <v>2</v>
      </c>
      <c r="C1284" s="110">
        <v>0.00966183574879227</v>
      </c>
      <c r="D1284" s="83" t="s">
        <v>1394</v>
      </c>
      <c r="E1284" s="83" t="b">
        <v>0</v>
      </c>
      <c r="F1284" s="83" t="b">
        <v>0</v>
      </c>
      <c r="G1284" s="83" t="b">
        <v>0</v>
      </c>
    </row>
    <row r="1285" spans="1:7" ht="15">
      <c r="A1285" s="84" t="s">
        <v>1433</v>
      </c>
      <c r="B1285" s="83">
        <v>4</v>
      </c>
      <c r="C1285" s="110">
        <v>0</v>
      </c>
      <c r="D1285" s="83" t="s">
        <v>1395</v>
      </c>
      <c r="E1285" s="83" t="b">
        <v>0</v>
      </c>
      <c r="F1285" s="83" t="b">
        <v>0</v>
      </c>
      <c r="G1285" s="83" t="b">
        <v>0</v>
      </c>
    </row>
    <row r="1286" spans="1:7" ht="15">
      <c r="A1286" s="84" t="s">
        <v>1435</v>
      </c>
      <c r="B1286" s="83">
        <v>3</v>
      </c>
      <c r="C1286" s="110">
        <v>0.012924696890513785</v>
      </c>
      <c r="D1286" s="83" t="s">
        <v>1395</v>
      </c>
      <c r="E1286" s="83" t="b">
        <v>0</v>
      </c>
      <c r="F1286" s="83" t="b">
        <v>0</v>
      </c>
      <c r="G1286" s="83" t="b">
        <v>0</v>
      </c>
    </row>
    <row r="1287" spans="1:7" ht="15">
      <c r="A1287" s="84" t="s">
        <v>1463</v>
      </c>
      <c r="B1287" s="83">
        <v>2</v>
      </c>
      <c r="C1287" s="110">
        <v>0.020760689356136633</v>
      </c>
      <c r="D1287" s="83" t="s">
        <v>1395</v>
      </c>
      <c r="E1287" s="83" t="b">
        <v>0</v>
      </c>
      <c r="F1287" s="83" t="b">
        <v>0</v>
      </c>
      <c r="G1287" s="83" t="b">
        <v>0</v>
      </c>
    </row>
    <row r="1288" spans="1:7" ht="15">
      <c r="A1288" s="84" t="s">
        <v>1547</v>
      </c>
      <c r="B1288" s="83">
        <v>2</v>
      </c>
      <c r="C1288" s="110">
        <v>0.020760689356136633</v>
      </c>
      <c r="D1288" s="83" t="s">
        <v>1395</v>
      </c>
      <c r="E1288" s="83" t="b">
        <v>0</v>
      </c>
      <c r="F1288" s="83" t="b">
        <v>0</v>
      </c>
      <c r="G1288" s="83" t="b">
        <v>0</v>
      </c>
    </row>
    <row r="1289" spans="1:7" ht="15">
      <c r="A1289" s="84" t="s">
        <v>1978</v>
      </c>
      <c r="B1289" s="83">
        <v>2</v>
      </c>
      <c r="C1289" s="110">
        <v>0</v>
      </c>
      <c r="D1289" s="83" t="s">
        <v>1397</v>
      </c>
      <c r="E1289" s="83" t="b">
        <v>0</v>
      </c>
      <c r="F1289" s="83" t="b">
        <v>0</v>
      </c>
      <c r="G1289" s="83" t="b">
        <v>0</v>
      </c>
    </row>
    <row r="1290" spans="1:7" ht="15">
      <c r="A1290" s="84" t="s">
        <v>1979</v>
      </c>
      <c r="B1290" s="83">
        <v>2</v>
      </c>
      <c r="C1290" s="110">
        <v>0</v>
      </c>
      <c r="D1290" s="83" t="s">
        <v>1397</v>
      </c>
      <c r="E1290" s="83" t="b">
        <v>0</v>
      </c>
      <c r="F1290" s="83" t="b">
        <v>0</v>
      </c>
      <c r="G1290" s="83" t="b">
        <v>0</v>
      </c>
    </row>
    <row r="1291" spans="1:7" ht="15">
      <c r="A1291" s="84" t="s">
        <v>1629</v>
      </c>
      <c r="B1291" s="83">
        <v>2</v>
      </c>
      <c r="C1291" s="110">
        <v>0.012542916485999216</v>
      </c>
      <c r="D1291" s="83" t="s">
        <v>1398</v>
      </c>
      <c r="E1291" s="83" t="b">
        <v>0</v>
      </c>
      <c r="F1291" s="83" t="b">
        <v>0</v>
      </c>
      <c r="G1291" s="83" t="b">
        <v>0</v>
      </c>
    </row>
    <row r="1292" spans="1:7" ht="15">
      <c r="A1292" s="84" t="s">
        <v>2005</v>
      </c>
      <c r="B1292" s="83">
        <v>2</v>
      </c>
      <c r="C1292" s="110">
        <v>0.012542916485999216</v>
      </c>
      <c r="D1292" s="83" t="s">
        <v>1398</v>
      </c>
      <c r="E1292" s="83" t="b">
        <v>0</v>
      </c>
      <c r="F1292" s="83" t="b">
        <v>0</v>
      </c>
      <c r="G1292" s="83" t="b">
        <v>0</v>
      </c>
    </row>
    <row r="1293" spans="1:7" ht="15">
      <c r="A1293" s="84" t="s">
        <v>2006</v>
      </c>
      <c r="B1293" s="83">
        <v>2</v>
      </c>
      <c r="C1293" s="110">
        <v>0.012542916485999216</v>
      </c>
      <c r="D1293" s="83" t="s">
        <v>1398</v>
      </c>
      <c r="E1293" s="83" t="b">
        <v>0</v>
      </c>
      <c r="F1293" s="83" t="b">
        <v>0</v>
      </c>
      <c r="G1293" s="83" t="b">
        <v>0</v>
      </c>
    </row>
    <row r="1294" spans="1:7" ht="15">
      <c r="A1294" s="84" t="s">
        <v>2007</v>
      </c>
      <c r="B1294" s="83">
        <v>2</v>
      </c>
      <c r="C1294" s="110">
        <v>0.012542916485999216</v>
      </c>
      <c r="D1294" s="83" t="s">
        <v>1398</v>
      </c>
      <c r="E1294" s="83" t="b">
        <v>0</v>
      </c>
      <c r="F1294" s="83" t="b">
        <v>0</v>
      </c>
      <c r="G1294" s="83" t="b">
        <v>0</v>
      </c>
    </row>
    <row r="1295" spans="1:7" ht="15">
      <c r="A1295" s="84" t="s">
        <v>2008</v>
      </c>
      <c r="B1295" s="83">
        <v>2</v>
      </c>
      <c r="C1295" s="110">
        <v>0.012542916485999216</v>
      </c>
      <c r="D1295" s="83" t="s">
        <v>1398</v>
      </c>
      <c r="E1295" s="83" t="b">
        <v>0</v>
      </c>
      <c r="F1295" s="83" t="b">
        <v>0</v>
      </c>
      <c r="G1295" s="83" t="b">
        <v>0</v>
      </c>
    </row>
    <row r="1296" spans="1:7" ht="15">
      <c r="A1296" s="84" t="s">
        <v>2009</v>
      </c>
      <c r="B1296" s="83">
        <v>2</v>
      </c>
      <c r="C1296" s="110">
        <v>0.012542916485999216</v>
      </c>
      <c r="D1296" s="83" t="s">
        <v>1398</v>
      </c>
      <c r="E1296" s="83" t="b">
        <v>0</v>
      </c>
      <c r="F1296" s="83" t="b">
        <v>0</v>
      </c>
      <c r="G1296" s="83" t="b">
        <v>0</v>
      </c>
    </row>
    <row r="1297" spans="1:7" ht="15">
      <c r="A1297" s="84" t="s">
        <v>2010</v>
      </c>
      <c r="B1297" s="83">
        <v>2</v>
      </c>
      <c r="C1297" s="110">
        <v>0.012542916485999216</v>
      </c>
      <c r="D1297" s="83" t="s">
        <v>1398</v>
      </c>
      <c r="E1297" s="83" t="b">
        <v>0</v>
      </c>
      <c r="F1297" s="83" t="b">
        <v>0</v>
      </c>
      <c r="G1297" s="83" t="b">
        <v>0</v>
      </c>
    </row>
    <row r="1298" spans="1:7" ht="15">
      <c r="A1298" s="84" t="s">
        <v>2011</v>
      </c>
      <c r="B1298" s="83">
        <v>2</v>
      </c>
      <c r="C1298" s="110">
        <v>0.012542916485999216</v>
      </c>
      <c r="D1298" s="83" t="s">
        <v>1398</v>
      </c>
      <c r="E1298" s="83" t="b">
        <v>0</v>
      </c>
      <c r="F1298" s="83" t="b">
        <v>0</v>
      </c>
      <c r="G1298" s="83" t="b">
        <v>0</v>
      </c>
    </row>
    <row r="1299" spans="1:7" ht="15">
      <c r="A1299" s="84" t="s">
        <v>2012</v>
      </c>
      <c r="B1299" s="83">
        <v>2</v>
      </c>
      <c r="C1299" s="110">
        <v>0.012542916485999216</v>
      </c>
      <c r="D1299" s="83" t="s">
        <v>1398</v>
      </c>
      <c r="E1299" s="83" t="b">
        <v>0</v>
      </c>
      <c r="F1299" s="83" t="b">
        <v>0</v>
      </c>
      <c r="G1299" s="83" t="b">
        <v>0</v>
      </c>
    </row>
    <row r="1300" spans="1:7" ht="15">
      <c r="A1300" s="84" t="s">
        <v>2013</v>
      </c>
      <c r="B1300" s="83">
        <v>2</v>
      </c>
      <c r="C1300" s="110">
        <v>0.012542916485999216</v>
      </c>
      <c r="D1300" s="83" t="s">
        <v>1398</v>
      </c>
      <c r="E1300" s="83" t="b">
        <v>0</v>
      </c>
      <c r="F1300" s="83" t="b">
        <v>0</v>
      </c>
      <c r="G1300" s="83" t="b">
        <v>0</v>
      </c>
    </row>
    <row r="1301" spans="1:7" ht="15">
      <c r="A1301" s="84" t="s">
        <v>2014</v>
      </c>
      <c r="B1301" s="83">
        <v>2</v>
      </c>
      <c r="C1301" s="110">
        <v>0.012542916485999216</v>
      </c>
      <c r="D1301" s="83" t="s">
        <v>1398</v>
      </c>
      <c r="E1301" s="83" t="b">
        <v>0</v>
      </c>
      <c r="F1301" s="83" t="b">
        <v>0</v>
      </c>
      <c r="G1301" s="83" t="b">
        <v>0</v>
      </c>
    </row>
    <row r="1302" spans="1:7" ht="15">
      <c r="A1302" s="84" t="s">
        <v>2015</v>
      </c>
      <c r="B1302" s="83">
        <v>2</v>
      </c>
      <c r="C1302" s="110">
        <v>0.012542916485999216</v>
      </c>
      <c r="D1302" s="83" t="s">
        <v>1398</v>
      </c>
      <c r="E1302" s="83" t="b">
        <v>0</v>
      </c>
      <c r="F1302" s="83" t="b">
        <v>0</v>
      </c>
      <c r="G1302" s="83" t="b">
        <v>0</v>
      </c>
    </row>
    <row r="1303" spans="1:7" ht="15">
      <c r="A1303" s="84" t="s">
        <v>2016</v>
      </c>
      <c r="B1303" s="83">
        <v>2</v>
      </c>
      <c r="C1303" s="110">
        <v>0.012542916485999216</v>
      </c>
      <c r="D1303" s="83" t="s">
        <v>1398</v>
      </c>
      <c r="E1303" s="83" t="b">
        <v>0</v>
      </c>
      <c r="F1303" s="83" t="b">
        <v>0</v>
      </c>
      <c r="G1303" s="83" t="b">
        <v>0</v>
      </c>
    </row>
    <row r="1304" spans="1:7" ht="15">
      <c r="A1304" s="84" t="s">
        <v>1428</v>
      </c>
      <c r="B1304" s="83">
        <v>2</v>
      </c>
      <c r="C1304" s="110">
        <v>0.012542916485999216</v>
      </c>
      <c r="D1304" s="83" t="s">
        <v>1398</v>
      </c>
      <c r="E1304" s="83" t="b">
        <v>0</v>
      </c>
      <c r="F1304" s="83" t="b">
        <v>0</v>
      </c>
      <c r="G1304" s="83" t="b">
        <v>0</v>
      </c>
    </row>
    <row r="1305" spans="1:7" ht="15">
      <c r="A1305" s="84" t="s">
        <v>1430</v>
      </c>
      <c r="B1305" s="83">
        <v>3</v>
      </c>
      <c r="C1305" s="110">
        <v>0.0265614702056454</v>
      </c>
      <c r="D1305" s="83" t="s">
        <v>1399</v>
      </c>
      <c r="E1305" s="83" t="b">
        <v>0</v>
      </c>
      <c r="F1305" s="83" t="b">
        <v>0</v>
      </c>
      <c r="G1305" s="83" t="b">
        <v>0</v>
      </c>
    </row>
    <row r="1306" spans="1:7" ht="15">
      <c r="A1306" s="84" t="s">
        <v>1487</v>
      </c>
      <c r="B1306" s="83">
        <v>3</v>
      </c>
      <c r="C1306" s="110">
        <v>0.0265614702056454</v>
      </c>
      <c r="D1306" s="83" t="s">
        <v>1399</v>
      </c>
      <c r="E1306" s="83" t="b">
        <v>0</v>
      </c>
      <c r="F1306" s="83" t="b">
        <v>0</v>
      </c>
      <c r="G1306" s="83" t="b">
        <v>0</v>
      </c>
    </row>
    <row r="1307" spans="1:7" ht="15">
      <c r="A1307" s="84" t="s">
        <v>1757</v>
      </c>
      <c r="B1307" s="83">
        <v>3</v>
      </c>
      <c r="C1307" s="110">
        <v>0.0265614702056454</v>
      </c>
      <c r="D1307" s="83" t="s">
        <v>1399</v>
      </c>
      <c r="E1307" s="83" t="b">
        <v>0</v>
      </c>
      <c r="F1307" s="83" t="b">
        <v>0</v>
      </c>
      <c r="G1307" s="83" t="b">
        <v>0</v>
      </c>
    </row>
    <row r="1308" spans="1:7" ht="15">
      <c r="A1308" s="84" t="s">
        <v>2031</v>
      </c>
      <c r="B1308" s="83">
        <v>2</v>
      </c>
      <c r="C1308" s="110">
        <v>0.0177076468037636</v>
      </c>
      <c r="D1308" s="83" t="s">
        <v>1399</v>
      </c>
      <c r="E1308" s="83" t="b">
        <v>0</v>
      </c>
      <c r="F1308" s="83" t="b">
        <v>0</v>
      </c>
      <c r="G1308" s="83" t="b">
        <v>0</v>
      </c>
    </row>
    <row r="1309" spans="1:7" ht="15">
      <c r="A1309" s="84" t="s">
        <v>1428</v>
      </c>
      <c r="B1309" s="83">
        <v>2</v>
      </c>
      <c r="C1309" s="110">
        <v>0.0177076468037636</v>
      </c>
      <c r="D1309" s="83" t="s">
        <v>1399</v>
      </c>
      <c r="E1309" s="83" t="b">
        <v>0</v>
      </c>
      <c r="F1309" s="83" t="b">
        <v>0</v>
      </c>
      <c r="G1309" s="83" t="b">
        <v>0</v>
      </c>
    </row>
    <row r="1310" spans="1:7" ht="15">
      <c r="A1310" s="84" t="s">
        <v>1451</v>
      </c>
      <c r="B1310" s="83">
        <v>2</v>
      </c>
      <c r="C1310" s="110">
        <v>0.0177076468037636</v>
      </c>
      <c r="D1310" s="83" t="s">
        <v>1399</v>
      </c>
      <c r="E1310" s="83" t="b">
        <v>0</v>
      </c>
      <c r="F1310" s="83" t="b">
        <v>0</v>
      </c>
      <c r="G1310" s="83" t="b">
        <v>0</v>
      </c>
    </row>
    <row r="1311" spans="1:7" ht="15">
      <c r="A1311" s="84" t="s">
        <v>1733</v>
      </c>
      <c r="B1311" s="83">
        <v>2</v>
      </c>
      <c r="C1311" s="110">
        <v>0.0177076468037636</v>
      </c>
      <c r="D1311" s="83" t="s">
        <v>1399</v>
      </c>
      <c r="E1311" s="83" t="b">
        <v>0</v>
      </c>
      <c r="F1311" s="83" t="b">
        <v>0</v>
      </c>
      <c r="G131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8D4C-582B-4712-B362-F836D4410155}">
  <dimension ref="A1:L6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2063</v>
      </c>
      <c r="B1" s="13" t="s">
        <v>2064</v>
      </c>
      <c r="C1" s="13" t="s">
        <v>2054</v>
      </c>
      <c r="D1" s="13" t="s">
        <v>2058</v>
      </c>
      <c r="E1" s="13" t="s">
        <v>2065</v>
      </c>
      <c r="F1" s="13" t="s">
        <v>144</v>
      </c>
      <c r="G1" s="13" t="s">
        <v>2066</v>
      </c>
      <c r="H1" s="13" t="s">
        <v>2067</v>
      </c>
      <c r="I1" s="13" t="s">
        <v>2068</v>
      </c>
      <c r="J1" s="13" t="s">
        <v>2069</v>
      </c>
      <c r="K1" s="13" t="s">
        <v>2070</v>
      </c>
      <c r="L1" s="13" t="s">
        <v>2071</v>
      </c>
    </row>
    <row r="2" spans="1:12" ht="15">
      <c r="A2" s="83" t="s">
        <v>1444</v>
      </c>
      <c r="B2" s="83" t="s">
        <v>1453</v>
      </c>
      <c r="C2" s="83">
        <v>15</v>
      </c>
      <c r="D2" s="110">
        <v>0.0056651464990253135</v>
      </c>
      <c r="E2" s="110">
        <v>2.315387164918228</v>
      </c>
      <c r="F2" s="83" t="s">
        <v>2059</v>
      </c>
      <c r="G2" s="83" t="b">
        <v>0</v>
      </c>
      <c r="H2" s="83" t="b">
        <v>0</v>
      </c>
      <c r="I2" s="83" t="b">
        <v>0</v>
      </c>
      <c r="J2" s="83" t="b">
        <v>0</v>
      </c>
      <c r="K2" s="83" t="b">
        <v>0</v>
      </c>
      <c r="L2" s="83" t="b">
        <v>0</v>
      </c>
    </row>
    <row r="3" spans="1:12" ht="15">
      <c r="A3" s="84" t="s">
        <v>1433</v>
      </c>
      <c r="B3" s="83" t="s">
        <v>1435</v>
      </c>
      <c r="C3" s="83">
        <v>14</v>
      </c>
      <c r="D3" s="110">
        <v>0.0046173784301009905</v>
      </c>
      <c r="E3" s="110">
        <v>1.841726442308072</v>
      </c>
      <c r="F3" s="83" t="s">
        <v>2059</v>
      </c>
      <c r="G3" s="83" t="b">
        <v>0</v>
      </c>
      <c r="H3" s="83" t="b">
        <v>0</v>
      </c>
      <c r="I3" s="83" t="b">
        <v>0</v>
      </c>
      <c r="J3" s="83" t="b">
        <v>0</v>
      </c>
      <c r="K3" s="83" t="b">
        <v>0</v>
      </c>
      <c r="L3" s="83" t="b">
        <v>0</v>
      </c>
    </row>
    <row r="4" spans="1:12" ht="15">
      <c r="A4" s="84" t="s">
        <v>1479</v>
      </c>
      <c r="B4" s="83" t="s">
        <v>1446</v>
      </c>
      <c r="C4" s="83">
        <v>10</v>
      </c>
      <c r="D4" s="110">
        <v>0.004413512911140281</v>
      </c>
      <c r="E4" s="110">
        <v>2.315387164918228</v>
      </c>
      <c r="F4" s="83" t="s">
        <v>2059</v>
      </c>
      <c r="G4" s="83" t="b">
        <v>0</v>
      </c>
      <c r="H4" s="83" t="b">
        <v>0</v>
      </c>
      <c r="I4" s="83" t="b">
        <v>0</v>
      </c>
      <c r="J4" s="83" t="b">
        <v>0</v>
      </c>
      <c r="K4" s="83" t="b">
        <v>0</v>
      </c>
      <c r="L4" s="83" t="b">
        <v>0</v>
      </c>
    </row>
    <row r="5" spans="1:12" ht="15">
      <c r="A5" s="84" t="s">
        <v>1446</v>
      </c>
      <c r="B5" s="83" t="s">
        <v>1480</v>
      </c>
      <c r="C5" s="83">
        <v>10</v>
      </c>
      <c r="D5" s="110">
        <v>0.004413512911140281</v>
      </c>
      <c r="E5" s="110">
        <v>2.315387164918228</v>
      </c>
      <c r="F5" s="83" t="s">
        <v>2059</v>
      </c>
      <c r="G5" s="83" t="b">
        <v>0</v>
      </c>
      <c r="H5" s="83" t="b">
        <v>0</v>
      </c>
      <c r="I5" s="83" t="b">
        <v>0</v>
      </c>
      <c r="J5" s="83" t="b">
        <v>0</v>
      </c>
      <c r="K5" s="83" t="b">
        <v>0</v>
      </c>
      <c r="L5" s="83" t="b">
        <v>0</v>
      </c>
    </row>
    <row r="6" spans="1:12" ht="15">
      <c r="A6" s="84" t="s">
        <v>1441</v>
      </c>
      <c r="B6" s="83" t="s">
        <v>1488</v>
      </c>
      <c r="C6" s="83">
        <v>9</v>
      </c>
      <c r="D6" s="110">
        <v>0.004189719643741022</v>
      </c>
      <c r="E6" s="110">
        <v>2.34021074864326</v>
      </c>
      <c r="F6" s="83" t="s">
        <v>2059</v>
      </c>
      <c r="G6" s="83" t="b">
        <v>0</v>
      </c>
      <c r="H6" s="83" t="b">
        <v>0</v>
      </c>
      <c r="I6" s="83" t="b">
        <v>0</v>
      </c>
      <c r="J6" s="83" t="b">
        <v>0</v>
      </c>
      <c r="K6" s="83" t="b">
        <v>0</v>
      </c>
      <c r="L6" s="83" t="b">
        <v>0</v>
      </c>
    </row>
    <row r="7" spans="1:12" ht="15">
      <c r="A7" s="84" t="s">
        <v>1431</v>
      </c>
      <c r="B7" s="83" t="s">
        <v>1442</v>
      </c>
      <c r="C7" s="83">
        <v>8</v>
      </c>
      <c r="D7" s="110">
        <v>0.003372803352513871</v>
      </c>
      <c r="E7" s="110">
        <v>1.595227861512271</v>
      </c>
      <c r="F7" s="83" t="s">
        <v>2059</v>
      </c>
      <c r="G7" s="83" t="b">
        <v>0</v>
      </c>
      <c r="H7" s="83" t="b">
        <v>0</v>
      </c>
      <c r="I7" s="83" t="b">
        <v>0</v>
      </c>
      <c r="J7" s="83" t="b">
        <v>0</v>
      </c>
      <c r="K7" s="83" t="b">
        <v>0</v>
      </c>
      <c r="L7" s="83" t="b">
        <v>0</v>
      </c>
    </row>
    <row r="8" spans="1:12" ht="15">
      <c r="A8" s="84" t="s">
        <v>1460</v>
      </c>
      <c r="B8" s="83" t="s">
        <v>1451</v>
      </c>
      <c r="C8" s="83">
        <v>8</v>
      </c>
      <c r="D8" s="110">
        <v>0.003724195238880908</v>
      </c>
      <c r="E8" s="110">
        <v>2.155686322050716</v>
      </c>
      <c r="F8" s="83" t="s">
        <v>2059</v>
      </c>
      <c r="G8" s="83" t="b">
        <v>0</v>
      </c>
      <c r="H8" s="83" t="b">
        <v>0</v>
      </c>
      <c r="I8" s="83" t="b">
        <v>0</v>
      </c>
      <c r="J8" s="83" t="b">
        <v>0</v>
      </c>
      <c r="K8" s="83" t="b">
        <v>0</v>
      </c>
      <c r="L8" s="83" t="b">
        <v>0</v>
      </c>
    </row>
    <row r="9" spans="1:12" ht="15">
      <c r="A9" s="84" t="s">
        <v>1504</v>
      </c>
      <c r="B9" s="83" t="s">
        <v>1446</v>
      </c>
      <c r="C9" s="83">
        <v>8</v>
      </c>
      <c r="D9" s="110">
        <v>0.003724195238880908</v>
      </c>
      <c r="E9" s="110">
        <v>2.315387164918228</v>
      </c>
      <c r="F9" s="83" t="s">
        <v>2059</v>
      </c>
      <c r="G9" s="83" t="b">
        <v>0</v>
      </c>
      <c r="H9" s="83" t="b">
        <v>0</v>
      </c>
      <c r="I9" s="83" t="b">
        <v>0</v>
      </c>
      <c r="J9" s="83" t="b">
        <v>0</v>
      </c>
      <c r="K9" s="83" t="b">
        <v>0</v>
      </c>
      <c r="L9" s="83" t="b">
        <v>0</v>
      </c>
    </row>
    <row r="10" spans="1:12" ht="15">
      <c r="A10" s="84" t="s">
        <v>1439</v>
      </c>
      <c r="B10" s="83" t="s">
        <v>1482</v>
      </c>
      <c r="C10" s="83">
        <v>7</v>
      </c>
      <c r="D10" s="110">
        <v>0.0028343090628050144</v>
      </c>
      <c r="E10" s="110">
        <v>2.182761599643637</v>
      </c>
      <c r="F10" s="83" t="s">
        <v>2059</v>
      </c>
      <c r="G10" s="83" t="b">
        <v>1</v>
      </c>
      <c r="H10" s="83" t="b">
        <v>0</v>
      </c>
      <c r="I10" s="83" t="b">
        <v>0</v>
      </c>
      <c r="J10" s="83" t="b">
        <v>0</v>
      </c>
      <c r="K10" s="83" t="b">
        <v>0</v>
      </c>
      <c r="L10" s="83" t="b">
        <v>0</v>
      </c>
    </row>
    <row r="11" spans="1:12" ht="15">
      <c r="A11" s="84" t="s">
        <v>1482</v>
      </c>
      <c r="B11" s="83" t="s">
        <v>1509</v>
      </c>
      <c r="C11" s="83">
        <v>7</v>
      </c>
      <c r="D11" s="110">
        <v>0.0028343090628050144</v>
      </c>
      <c r="E11" s="110">
        <v>2.616417160582209</v>
      </c>
      <c r="F11" s="83" t="s">
        <v>2059</v>
      </c>
      <c r="G11" s="83" t="b">
        <v>0</v>
      </c>
      <c r="H11" s="83" t="b">
        <v>0</v>
      </c>
      <c r="I11" s="83" t="b">
        <v>0</v>
      </c>
      <c r="J11" s="83" t="b">
        <v>1</v>
      </c>
      <c r="K11" s="83" t="b">
        <v>0</v>
      </c>
      <c r="L11" s="83" t="b">
        <v>0</v>
      </c>
    </row>
    <row r="12" spans="1:12" ht="15">
      <c r="A12" s="84" t="s">
        <v>1461</v>
      </c>
      <c r="B12" s="83" t="s">
        <v>1483</v>
      </c>
      <c r="C12" s="83">
        <v>7</v>
      </c>
      <c r="D12" s="110">
        <v>0.0028343090628050144</v>
      </c>
      <c r="E12" s="110">
        <v>2.420122515438241</v>
      </c>
      <c r="F12" s="83" t="s">
        <v>2059</v>
      </c>
      <c r="G12" s="83" t="b">
        <v>1</v>
      </c>
      <c r="H12" s="83" t="b">
        <v>0</v>
      </c>
      <c r="I12" s="83" t="b">
        <v>0</v>
      </c>
      <c r="J12" s="83" t="b">
        <v>0</v>
      </c>
      <c r="K12" s="83" t="b">
        <v>0</v>
      </c>
      <c r="L12" s="83" t="b">
        <v>0</v>
      </c>
    </row>
    <row r="13" spans="1:12" ht="15">
      <c r="A13" s="84" t="s">
        <v>1485</v>
      </c>
      <c r="B13" s="83" t="s">
        <v>1435</v>
      </c>
      <c r="C13" s="83">
        <v>7</v>
      </c>
      <c r="D13" s="110">
        <v>0.0028343090628050144</v>
      </c>
      <c r="E13" s="110">
        <v>2.0635751919244285</v>
      </c>
      <c r="F13" s="83" t="s">
        <v>2059</v>
      </c>
      <c r="G13" s="83" t="b">
        <v>0</v>
      </c>
      <c r="H13" s="83" t="b">
        <v>0</v>
      </c>
      <c r="I13" s="83" t="b">
        <v>0</v>
      </c>
      <c r="J13" s="83" t="b">
        <v>0</v>
      </c>
      <c r="K13" s="83" t="b">
        <v>0</v>
      </c>
      <c r="L13" s="83" t="b">
        <v>0</v>
      </c>
    </row>
    <row r="14" spans="1:12" ht="15">
      <c r="A14" s="84" t="s">
        <v>1455</v>
      </c>
      <c r="B14" s="83" t="s">
        <v>1431</v>
      </c>
      <c r="C14" s="83">
        <v>6</v>
      </c>
      <c r="D14" s="110">
        <v>0.0026481077466841683</v>
      </c>
      <c r="E14" s="110">
        <v>1.5914148916121535</v>
      </c>
      <c r="F14" s="83" t="s">
        <v>2059</v>
      </c>
      <c r="G14" s="83" t="b">
        <v>0</v>
      </c>
      <c r="H14" s="83" t="b">
        <v>0</v>
      </c>
      <c r="I14" s="83" t="b">
        <v>0</v>
      </c>
      <c r="J14" s="83" t="b">
        <v>0</v>
      </c>
      <c r="K14" s="83" t="b">
        <v>0</v>
      </c>
      <c r="L14" s="83" t="b">
        <v>0</v>
      </c>
    </row>
    <row r="15" spans="1:12" ht="15">
      <c r="A15" s="84" t="s">
        <v>1455</v>
      </c>
      <c r="B15" s="83" t="s">
        <v>1508</v>
      </c>
      <c r="C15" s="83">
        <v>6</v>
      </c>
      <c r="D15" s="110">
        <v>0.0027931464291606808</v>
      </c>
      <c r="E15" s="110">
        <v>2.3897695280840843</v>
      </c>
      <c r="F15" s="83" t="s">
        <v>2059</v>
      </c>
      <c r="G15" s="83" t="b">
        <v>0</v>
      </c>
      <c r="H15" s="83" t="b">
        <v>0</v>
      </c>
      <c r="I15" s="83" t="b">
        <v>0</v>
      </c>
      <c r="J15" s="83" t="b">
        <v>0</v>
      </c>
      <c r="K15" s="83" t="b">
        <v>0</v>
      </c>
      <c r="L15" s="83" t="b">
        <v>0</v>
      </c>
    </row>
    <row r="16" spans="1:12" ht="15">
      <c r="A16" s="84" t="s">
        <v>1468</v>
      </c>
      <c r="B16" s="83" t="s">
        <v>1439</v>
      </c>
      <c r="C16" s="83">
        <v>6</v>
      </c>
      <c r="D16" s="110">
        <v>0.002529602514385403</v>
      </c>
      <c r="E16" s="110">
        <v>2.1727196613494963</v>
      </c>
      <c r="F16" s="83" t="s">
        <v>2059</v>
      </c>
      <c r="G16" s="83" t="b">
        <v>0</v>
      </c>
      <c r="H16" s="83" t="b">
        <v>0</v>
      </c>
      <c r="I16" s="83" t="b">
        <v>0</v>
      </c>
      <c r="J16" s="83" t="b">
        <v>1</v>
      </c>
      <c r="K16" s="83" t="b">
        <v>0</v>
      </c>
      <c r="L16" s="83" t="b">
        <v>0</v>
      </c>
    </row>
    <row r="17" spans="1:12" ht="15">
      <c r="A17" s="84" t="s">
        <v>1509</v>
      </c>
      <c r="B17" s="83" t="s">
        <v>1461</v>
      </c>
      <c r="C17" s="83">
        <v>6</v>
      </c>
      <c r="D17" s="110">
        <v>0.002529602514385403</v>
      </c>
      <c r="E17" s="110">
        <v>2.462320195232696</v>
      </c>
      <c r="F17" s="83" t="s">
        <v>2059</v>
      </c>
      <c r="G17" s="83" t="b">
        <v>1</v>
      </c>
      <c r="H17" s="83" t="b">
        <v>0</v>
      </c>
      <c r="I17" s="83" t="b">
        <v>0</v>
      </c>
      <c r="J17" s="83" t="b">
        <v>1</v>
      </c>
      <c r="K17" s="83" t="b">
        <v>0</v>
      </c>
      <c r="L17" s="83" t="b">
        <v>0</v>
      </c>
    </row>
    <row r="18" spans="1:12" ht="15">
      <c r="A18" s="84" t="s">
        <v>1483</v>
      </c>
      <c r="B18" s="83" t="s">
        <v>1475</v>
      </c>
      <c r="C18" s="83">
        <v>6</v>
      </c>
      <c r="D18" s="110">
        <v>0.002529602514385403</v>
      </c>
      <c r="E18" s="110">
        <v>2.4403259015265277</v>
      </c>
      <c r="F18" s="83" t="s">
        <v>2059</v>
      </c>
      <c r="G18" s="83" t="b">
        <v>0</v>
      </c>
      <c r="H18" s="83" t="b">
        <v>0</v>
      </c>
      <c r="I18" s="83" t="b">
        <v>0</v>
      </c>
      <c r="J18" s="83" t="b">
        <v>0</v>
      </c>
      <c r="K18" s="83" t="b">
        <v>0</v>
      </c>
      <c r="L18" s="83" t="b">
        <v>0</v>
      </c>
    </row>
    <row r="19" spans="1:12" ht="15">
      <c r="A19" s="84" t="s">
        <v>1475</v>
      </c>
      <c r="B19" s="83" t="s">
        <v>1491</v>
      </c>
      <c r="C19" s="83">
        <v>6</v>
      </c>
      <c r="D19" s="110">
        <v>0.002529602514385403</v>
      </c>
      <c r="E19" s="110">
        <v>2.4457209334132344</v>
      </c>
      <c r="F19" s="83" t="s">
        <v>2059</v>
      </c>
      <c r="G19" s="83" t="b">
        <v>0</v>
      </c>
      <c r="H19" s="83" t="b">
        <v>0</v>
      </c>
      <c r="I19" s="83" t="b">
        <v>0</v>
      </c>
      <c r="J19" s="83" t="b">
        <v>0</v>
      </c>
      <c r="K19" s="83" t="b">
        <v>0</v>
      </c>
      <c r="L19" s="83" t="b">
        <v>0</v>
      </c>
    </row>
    <row r="20" spans="1:12" ht="15">
      <c r="A20" s="84" t="s">
        <v>1491</v>
      </c>
      <c r="B20" s="83" t="s">
        <v>1439</v>
      </c>
      <c r="C20" s="83">
        <v>6</v>
      </c>
      <c r="D20" s="110">
        <v>0.002529602514385403</v>
      </c>
      <c r="E20" s="110">
        <v>2.269629674357553</v>
      </c>
      <c r="F20" s="83" t="s">
        <v>2059</v>
      </c>
      <c r="G20" s="83" t="b">
        <v>0</v>
      </c>
      <c r="H20" s="83" t="b">
        <v>0</v>
      </c>
      <c r="I20" s="83" t="b">
        <v>0</v>
      </c>
      <c r="J20" s="83" t="b">
        <v>1</v>
      </c>
      <c r="K20" s="83" t="b">
        <v>0</v>
      </c>
      <c r="L20" s="83" t="b">
        <v>0</v>
      </c>
    </row>
    <row r="21" spans="1:12" ht="15">
      <c r="A21" s="84" t="s">
        <v>1439</v>
      </c>
      <c r="B21" s="83" t="s">
        <v>1528</v>
      </c>
      <c r="C21" s="83">
        <v>6</v>
      </c>
      <c r="D21" s="110">
        <v>0.002529602514385403</v>
      </c>
      <c r="E21" s="110">
        <v>2.291906069068705</v>
      </c>
      <c r="F21" s="83" t="s">
        <v>2059</v>
      </c>
      <c r="G21" s="83" t="b">
        <v>1</v>
      </c>
      <c r="H21" s="83" t="b">
        <v>0</v>
      </c>
      <c r="I21" s="83" t="b">
        <v>0</v>
      </c>
      <c r="J21" s="83" t="b">
        <v>0</v>
      </c>
      <c r="K21" s="83" t="b">
        <v>0</v>
      </c>
      <c r="L21" s="83" t="b">
        <v>0</v>
      </c>
    </row>
    <row r="22" spans="1:12" ht="15">
      <c r="A22" s="84" t="s">
        <v>1528</v>
      </c>
      <c r="B22" s="83" t="s">
        <v>1492</v>
      </c>
      <c r="C22" s="83">
        <v>6</v>
      </c>
      <c r="D22" s="110">
        <v>0.002529602514385403</v>
      </c>
      <c r="E22" s="110">
        <v>2.7255616300072774</v>
      </c>
      <c r="F22" s="83" t="s">
        <v>2059</v>
      </c>
      <c r="G22" s="83" t="b">
        <v>0</v>
      </c>
      <c r="H22" s="83" t="b">
        <v>0</v>
      </c>
      <c r="I22" s="83" t="b">
        <v>0</v>
      </c>
      <c r="J22" s="83" t="b">
        <v>0</v>
      </c>
      <c r="K22" s="83" t="b">
        <v>1</v>
      </c>
      <c r="L22" s="83" t="b">
        <v>0</v>
      </c>
    </row>
    <row r="23" spans="1:12" ht="15">
      <c r="A23" s="84" t="s">
        <v>1492</v>
      </c>
      <c r="B23" s="83" t="s">
        <v>1510</v>
      </c>
      <c r="C23" s="83">
        <v>6</v>
      </c>
      <c r="D23" s="110">
        <v>0.002529602514385403</v>
      </c>
      <c r="E23" s="110">
        <v>2.6006228933989775</v>
      </c>
      <c r="F23" s="83" t="s">
        <v>2059</v>
      </c>
      <c r="G23" s="83" t="b">
        <v>0</v>
      </c>
      <c r="H23" s="83" t="b">
        <v>1</v>
      </c>
      <c r="I23" s="83" t="b">
        <v>0</v>
      </c>
      <c r="J23" s="83" t="b">
        <v>0</v>
      </c>
      <c r="K23" s="83" t="b">
        <v>0</v>
      </c>
      <c r="L23" s="83" t="b">
        <v>0</v>
      </c>
    </row>
    <row r="24" spans="1:12" ht="15">
      <c r="A24" s="84" t="s">
        <v>1430</v>
      </c>
      <c r="B24" s="83" t="s">
        <v>1487</v>
      </c>
      <c r="C24" s="83">
        <v>6</v>
      </c>
      <c r="D24" s="110">
        <v>0.0027931464291606808</v>
      </c>
      <c r="E24" s="110">
        <v>1.6463803839596525</v>
      </c>
      <c r="F24" s="83" t="s">
        <v>2059</v>
      </c>
      <c r="G24" s="83" t="b">
        <v>0</v>
      </c>
      <c r="H24" s="83" t="b">
        <v>0</v>
      </c>
      <c r="I24" s="83" t="b">
        <v>0</v>
      </c>
      <c r="J24" s="83" t="b">
        <v>0</v>
      </c>
      <c r="K24" s="83" t="b">
        <v>0</v>
      </c>
      <c r="L24" s="83" t="b">
        <v>0</v>
      </c>
    </row>
    <row r="25" spans="1:12" ht="15">
      <c r="A25" s="84" t="s">
        <v>1502</v>
      </c>
      <c r="B25" s="83" t="s">
        <v>1536</v>
      </c>
      <c r="C25" s="83">
        <v>6</v>
      </c>
      <c r="D25" s="110">
        <v>0.002529602514385403</v>
      </c>
      <c r="E25" s="110">
        <v>2.6675696830295905</v>
      </c>
      <c r="F25" s="83" t="s">
        <v>2059</v>
      </c>
      <c r="G25" s="83" t="b">
        <v>0</v>
      </c>
      <c r="H25" s="83" t="b">
        <v>0</v>
      </c>
      <c r="I25" s="83" t="b">
        <v>0</v>
      </c>
      <c r="J25" s="83" t="b">
        <v>0</v>
      </c>
      <c r="K25" s="83" t="b">
        <v>0</v>
      </c>
      <c r="L25" s="83" t="b">
        <v>0</v>
      </c>
    </row>
    <row r="26" spans="1:12" ht="15">
      <c r="A26" s="84" t="s">
        <v>1480</v>
      </c>
      <c r="B26" s="83" t="s">
        <v>1538</v>
      </c>
      <c r="C26" s="83">
        <v>6</v>
      </c>
      <c r="D26" s="110">
        <v>0.0029801338124607053</v>
      </c>
      <c r="E26" s="110">
        <v>2.570659670021534</v>
      </c>
      <c r="F26" s="83" t="s">
        <v>2059</v>
      </c>
      <c r="G26" s="83" t="b">
        <v>0</v>
      </c>
      <c r="H26" s="83" t="b">
        <v>0</v>
      </c>
      <c r="I26" s="83" t="b">
        <v>0</v>
      </c>
      <c r="J26" s="83" t="b">
        <v>0</v>
      </c>
      <c r="K26" s="83" t="b">
        <v>0</v>
      </c>
      <c r="L26" s="83" t="b">
        <v>0</v>
      </c>
    </row>
    <row r="27" spans="1:12" ht="15">
      <c r="A27" s="84" t="s">
        <v>1506</v>
      </c>
      <c r="B27" s="83" t="s">
        <v>1481</v>
      </c>
      <c r="C27" s="83">
        <v>6</v>
      </c>
      <c r="D27" s="110">
        <v>0.0029801338124607053</v>
      </c>
      <c r="E27" s="110">
        <v>2.4457209334132344</v>
      </c>
      <c r="F27" s="83" t="s">
        <v>2059</v>
      </c>
      <c r="G27" s="83" t="b">
        <v>0</v>
      </c>
      <c r="H27" s="83" t="b">
        <v>0</v>
      </c>
      <c r="I27" s="83" t="b">
        <v>0</v>
      </c>
      <c r="J27" s="83" t="b">
        <v>0</v>
      </c>
      <c r="K27" s="83" t="b">
        <v>0</v>
      </c>
      <c r="L27" s="83" t="b">
        <v>0</v>
      </c>
    </row>
    <row r="28" spans="1:12" ht="15">
      <c r="A28" s="84" t="s">
        <v>1544</v>
      </c>
      <c r="B28" s="83" t="s">
        <v>1465</v>
      </c>
      <c r="C28" s="83">
        <v>6</v>
      </c>
      <c r="D28" s="110">
        <v>0.0029801338124607053</v>
      </c>
      <c r="E28" s="110">
        <v>2.570659670021534</v>
      </c>
      <c r="F28" s="83" t="s">
        <v>2059</v>
      </c>
      <c r="G28" s="83" t="b">
        <v>0</v>
      </c>
      <c r="H28" s="83" t="b">
        <v>0</v>
      </c>
      <c r="I28" s="83" t="b">
        <v>0</v>
      </c>
      <c r="J28" s="83" t="b">
        <v>0</v>
      </c>
      <c r="K28" s="83" t="b">
        <v>0</v>
      </c>
      <c r="L28" s="83" t="b">
        <v>0</v>
      </c>
    </row>
    <row r="29" spans="1:12" ht="15">
      <c r="A29" s="84" t="s">
        <v>1430</v>
      </c>
      <c r="B29" s="83" t="s">
        <v>1521</v>
      </c>
      <c r="C29" s="83">
        <v>5</v>
      </c>
      <c r="D29" s="110">
        <v>0.0023276220243005677</v>
      </c>
      <c r="E29" s="110">
        <v>1.6763436073370956</v>
      </c>
      <c r="F29" s="83" t="s">
        <v>2059</v>
      </c>
      <c r="G29" s="83" t="b">
        <v>0</v>
      </c>
      <c r="H29" s="83" t="b">
        <v>0</v>
      </c>
      <c r="I29" s="83" t="b">
        <v>0</v>
      </c>
      <c r="J29" s="83" t="b">
        <v>0</v>
      </c>
      <c r="K29" s="83" t="b">
        <v>0</v>
      </c>
      <c r="L29" s="83" t="b">
        <v>0</v>
      </c>
    </row>
    <row r="30" spans="1:12" ht="15">
      <c r="A30" s="84" t="s">
        <v>1453</v>
      </c>
      <c r="B30" s="83" t="s">
        <v>1573</v>
      </c>
      <c r="C30" s="83">
        <v>5</v>
      </c>
      <c r="D30" s="110">
        <v>0.002483444843717255</v>
      </c>
      <c r="E30" s="110">
        <v>2.394568410965853</v>
      </c>
      <c r="F30" s="83" t="s">
        <v>2059</v>
      </c>
      <c r="G30" s="83" t="b">
        <v>0</v>
      </c>
      <c r="H30" s="83" t="b">
        <v>0</v>
      </c>
      <c r="I30" s="83" t="b">
        <v>0</v>
      </c>
      <c r="J30" s="83" t="b">
        <v>0</v>
      </c>
      <c r="K30" s="83" t="b">
        <v>0</v>
      </c>
      <c r="L30" s="83" t="b">
        <v>0</v>
      </c>
    </row>
    <row r="31" spans="1:12" ht="15">
      <c r="A31" s="84" t="s">
        <v>1573</v>
      </c>
      <c r="B31" s="83" t="s">
        <v>1574</v>
      </c>
      <c r="C31" s="83">
        <v>5</v>
      </c>
      <c r="D31" s="110">
        <v>0.002483444843717255</v>
      </c>
      <c r="E31" s="110">
        <v>2.871689665685515</v>
      </c>
      <c r="F31" s="83" t="s">
        <v>2059</v>
      </c>
      <c r="G31" s="83" t="b">
        <v>0</v>
      </c>
      <c r="H31" s="83" t="b">
        <v>0</v>
      </c>
      <c r="I31" s="83" t="b">
        <v>0</v>
      </c>
      <c r="J31" s="83" t="b">
        <v>0</v>
      </c>
      <c r="K31" s="83" t="b">
        <v>0</v>
      </c>
      <c r="L31" s="83" t="b">
        <v>0</v>
      </c>
    </row>
    <row r="32" spans="1:12" ht="15">
      <c r="A32" s="84" t="s">
        <v>1463</v>
      </c>
      <c r="B32" s="83" t="s">
        <v>1547</v>
      </c>
      <c r="C32" s="83">
        <v>5</v>
      </c>
      <c r="D32" s="110">
        <v>0.0022067564555701405</v>
      </c>
      <c r="E32" s="110">
        <v>2.4500857388156843</v>
      </c>
      <c r="F32" s="83" t="s">
        <v>2059</v>
      </c>
      <c r="G32" s="83" t="b">
        <v>0</v>
      </c>
      <c r="H32" s="83" t="b">
        <v>0</v>
      </c>
      <c r="I32" s="83" t="b">
        <v>0</v>
      </c>
      <c r="J32" s="83" t="b">
        <v>0</v>
      </c>
      <c r="K32" s="83" t="b">
        <v>0</v>
      </c>
      <c r="L32" s="83" t="b">
        <v>0</v>
      </c>
    </row>
    <row r="33" spans="1:12" ht="15">
      <c r="A33" s="84" t="s">
        <v>1495</v>
      </c>
      <c r="B33" s="83" t="s">
        <v>1555</v>
      </c>
      <c r="C33" s="83">
        <v>4</v>
      </c>
      <c r="D33" s="110">
        <v>0.0021624518181573224</v>
      </c>
      <c r="E33" s="110">
        <v>2.5706596700215343</v>
      </c>
      <c r="F33" s="83" t="s">
        <v>2059</v>
      </c>
      <c r="G33" s="83" t="b">
        <v>0</v>
      </c>
      <c r="H33" s="83" t="b">
        <v>0</v>
      </c>
      <c r="I33" s="83" t="b">
        <v>0</v>
      </c>
      <c r="J33" s="83" t="b">
        <v>0</v>
      </c>
      <c r="K33" s="83" t="b">
        <v>0</v>
      </c>
      <c r="L33" s="83" t="b">
        <v>0</v>
      </c>
    </row>
    <row r="34" spans="1:12" ht="15">
      <c r="A34" s="84" t="s">
        <v>1428</v>
      </c>
      <c r="B34" s="83" t="s">
        <v>1429</v>
      </c>
      <c r="C34" s="83">
        <v>4</v>
      </c>
      <c r="D34" s="110">
        <v>0.001986755874973804</v>
      </c>
      <c r="E34" s="110">
        <v>0.3678989826283341</v>
      </c>
      <c r="F34" s="83" t="s">
        <v>2059</v>
      </c>
      <c r="G34" s="83" t="b">
        <v>0</v>
      </c>
      <c r="H34" s="83" t="b">
        <v>0</v>
      </c>
      <c r="I34" s="83" t="b">
        <v>0</v>
      </c>
      <c r="J34" s="83" t="b">
        <v>0</v>
      </c>
      <c r="K34" s="83" t="b">
        <v>0</v>
      </c>
      <c r="L34" s="83" t="b">
        <v>0</v>
      </c>
    </row>
    <row r="35" spans="1:12" ht="15">
      <c r="A35" s="84" t="s">
        <v>1517</v>
      </c>
      <c r="B35" s="83" t="s">
        <v>1562</v>
      </c>
      <c r="C35" s="83">
        <v>4</v>
      </c>
      <c r="D35" s="110">
        <v>0.0024628060168741905</v>
      </c>
      <c r="E35" s="110">
        <v>2.6286516169992207</v>
      </c>
      <c r="F35" s="83" t="s">
        <v>2059</v>
      </c>
      <c r="G35" s="83" t="b">
        <v>1</v>
      </c>
      <c r="H35" s="83" t="b">
        <v>0</v>
      </c>
      <c r="I35" s="83" t="b">
        <v>0</v>
      </c>
      <c r="J35" s="83" t="b">
        <v>0</v>
      </c>
      <c r="K35" s="83" t="b">
        <v>0</v>
      </c>
      <c r="L35" s="83" t="b">
        <v>0</v>
      </c>
    </row>
    <row r="36" spans="1:12" ht="15">
      <c r="A36" s="84" t="s">
        <v>1430</v>
      </c>
      <c r="B36" s="83" t="s">
        <v>1500</v>
      </c>
      <c r="C36" s="83">
        <v>4</v>
      </c>
      <c r="D36" s="110">
        <v>0.001862097619440454</v>
      </c>
      <c r="E36" s="110">
        <v>1.5214416473513523</v>
      </c>
      <c r="F36" s="83" t="s">
        <v>2059</v>
      </c>
      <c r="G36" s="83" t="b">
        <v>0</v>
      </c>
      <c r="H36" s="83" t="b">
        <v>0</v>
      </c>
      <c r="I36" s="83" t="b">
        <v>0</v>
      </c>
      <c r="J36" s="83" t="b">
        <v>0</v>
      </c>
      <c r="K36" s="83" t="b">
        <v>0</v>
      </c>
      <c r="L36" s="83" t="b">
        <v>0</v>
      </c>
    </row>
    <row r="37" spans="1:12" ht="15">
      <c r="A37" s="84" t="s">
        <v>1487</v>
      </c>
      <c r="B37" s="83" t="s">
        <v>1431</v>
      </c>
      <c r="C37" s="83">
        <v>4</v>
      </c>
      <c r="D37" s="110">
        <v>0.001862097619440454</v>
      </c>
      <c r="E37" s="110">
        <v>1.5750244754239842</v>
      </c>
      <c r="F37" s="83" t="s">
        <v>2059</v>
      </c>
      <c r="G37" s="83" t="b">
        <v>0</v>
      </c>
      <c r="H37" s="83" t="b">
        <v>0</v>
      </c>
      <c r="I37" s="83" t="b">
        <v>0</v>
      </c>
      <c r="J37" s="83" t="b">
        <v>0</v>
      </c>
      <c r="K37" s="83" t="b">
        <v>0</v>
      </c>
      <c r="L37" s="83" t="b">
        <v>0</v>
      </c>
    </row>
    <row r="38" spans="1:12" ht="15">
      <c r="A38" s="84" t="s">
        <v>1429</v>
      </c>
      <c r="B38" s="83" t="s">
        <v>1477</v>
      </c>
      <c r="C38" s="83">
        <v>4</v>
      </c>
      <c r="D38" s="110">
        <v>0.001986755874973804</v>
      </c>
      <c r="E38" s="110">
        <v>1.4323569718552525</v>
      </c>
      <c r="F38" s="83" t="s">
        <v>2059</v>
      </c>
      <c r="G38" s="83" t="b">
        <v>0</v>
      </c>
      <c r="H38" s="83" t="b">
        <v>0</v>
      </c>
      <c r="I38" s="83" t="b">
        <v>0</v>
      </c>
      <c r="J38" s="83" t="b">
        <v>0</v>
      </c>
      <c r="K38" s="83" t="b">
        <v>0</v>
      </c>
      <c r="L38" s="83" t="b">
        <v>0</v>
      </c>
    </row>
    <row r="39" spans="1:12" ht="15">
      <c r="A39" s="84" t="s">
        <v>1458</v>
      </c>
      <c r="B39" s="83" t="s">
        <v>1450</v>
      </c>
      <c r="C39" s="83">
        <v>4</v>
      </c>
      <c r="D39" s="110">
        <v>0.001862097619440454</v>
      </c>
      <c r="E39" s="110">
        <v>1.8224716430153336</v>
      </c>
      <c r="F39" s="83" t="s">
        <v>2059</v>
      </c>
      <c r="G39" s="83" t="b">
        <v>1</v>
      </c>
      <c r="H39" s="83" t="b">
        <v>0</v>
      </c>
      <c r="I39" s="83" t="b">
        <v>0</v>
      </c>
      <c r="J39" s="83" t="b">
        <v>0</v>
      </c>
      <c r="K39" s="83" t="b">
        <v>0</v>
      </c>
      <c r="L39" s="83" t="b">
        <v>0</v>
      </c>
    </row>
    <row r="40" spans="1:12" ht="15">
      <c r="A40" s="84" t="s">
        <v>1446</v>
      </c>
      <c r="B40" s="83" t="s">
        <v>1428</v>
      </c>
      <c r="C40" s="83">
        <v>4</v>
      </c>
      <c r="D40" s="110">
        <v>0.0021624518181573224</v>
      </c>
      <c r="E40" s="110">
        <v>0.8567493158925786</v>
      </c>
      <c r="F40" s="83" t="s">
        <v>2059</v>
      </c>
      <c r="G40" s="83" t="b">
        <v>0</v>
      </c>
      <c r="H40" s="83" t="b">
        <v>0</v>
      </c>
      <c r="I40" s="83" t="b">
        <v>0</v>
      </c>
      <c r="J40" s="83" t="b">
        <v>0</v>
      </c>
      <c r="K40" s="83" t="b">
        <v>0</v>
      </c>
      <c r="L40" s="83" t="b">
        <v>0</v>
      </c>
    </row>
    <row r="41" spans="1:12" ht="15">
      <c r="A41" s="84" t="s">
        <v>1428</v>
      </c>
      <c r="B41" s="83" t="s">
        <v>1577</v>
      </c>
      <c r="C41" s="83">
        <v>4</v>
      </c>
      <c r="D41" s="110">
        <v>0.0021624518181573224</v>
      </c>
      <c r="E41" s="110">
        <v>1.4323569718552525</v>
      </c>
      <c r="F41" s="83" t="s">
        <v>2059</v>
      </c>
      <c r="G41" s="83" t="b">
        <v>0</v>
      </c>
      <c r="H41" s="83" t="b">
        <v>0</v>
      </c>
      <c r="I41" s="83" t="b">
        <v>0</v>
      </c>
      <c r="J41" s="83" t="b">
        <v>0</v>
      </c>
      <c r="K41" s="83" t="b">
        <v>0</v>
      </c>
      <c r="L41" s="83" t="b">
        <v>0</v>
      </c>
    </row>
    <row r="42" spans="1:12" ht="15">
      <c r="A42" s="84" t="s">
        <v>1459</v>
      </c>
      <c r="B42" s="83" t="s">
        <v>1437</v>
      </c>
      <c r="C42" s="83">
        <v>4</v>
      </c>
      <c r="D42" s="110">
        <v>0.001862097619440454</v>
      </c>
      <c r="E42" s="110">
        <v>1.6648637896536655</v>
      </c>
      <c r="F42" s="83" t="s">
        <v>2059</v>
      </c>
      <c r="G42" s="83" t="b">
        <v>0</v>
      </c>
      <c r="H42" s="83" t="b">
        <v>0</v>
      </c>
      <c r="I42" s="83" t="b">
        <v>0</v>
      </c>
      <c r="J42" s="83" t="b">
        <v>0</v>
      </c>
      <c r="K42" s="83" t="b">
        <v>0</v>
      </c>
      <c r="L42" s="83" t="b">
        <v>0</v>
      </c>
    </row>
    <row r="43" spans="1:12" ht="15">
      <c r="A43" s="84" t="s">
        <v>1508</v>
      </c>
      <c r="B43" s="83" t="s">
        <v>1539</v>
      </c>
      <c r="C43" s="83">
        <v>4</v>
      </c>
      <c r="D43" s="110">
        <v>0.0021624518181573224</v>
      </c>
      <c r="E43" s="110">
        <v>2.549470370951596</v>
      </c>
      <c r="F43" s="83" t="s">
        <v>2059</v>
      </c>
      <c r="G43" s="83" t="b">
        <v>0</v>
      </c>
      <c r="H43" s="83" t="b">
        <v>0</v>
      </c>
      <c r="I43" s="83" t="b">
        <v>0</v>
      </c>
      <c r="J43" s="83" t="b">
        <v>0</v>
      </c>
      <c r="K43" s="83" t="b">
        <v>0</v>
      </c>
      <c r="L43" s="83" t="b">
        <v>0</v>
      </c>
    </row>
    <row r="44" spans="1:12" ht="15">
      <c r="A44" s="84" t="s">
        <v>1481</v>
      </c>
      <c r="B44" s="83" t="s">
        <v>1450</v>
      </c>
      <c r="C44" s="83">
        <v>4</v>
      </c>
      <c r="D44" s="110">
        <v>0.0021624518181573224</v>
      </c>
      <c r="E44" s="110">
        <v>1.9685996786935718</v>
      </c>
      <c r="F44" s="83" t="s">
        <v>2059</v>
      </c>
      <c r="G44" s="83" t="b">
        <v>0</v>
      </c>
      <c r="H44" s="83" t="b">
        <v>0</v>
      </c>
      <c r="I44" s="83" t="b">
        <v>0</v>
      </c>
      <c r="J44" s="83" t="b">
        <v>0</v>
      </c>
      <c r="K44" s="83" t="b">
        <v>0</v>
      </c>
      <c r="L44" s="83" t="b">
        <v>0</v>
      </c>
    </row>
    <row r="45" spans="1:12" ht="15">
      <c r="A45" s="84" t="s">
        <v>1558</v>
      </c>
      <c r="B45" s="83" t="s">
        <v>1544</v>
      </c>
      <c r="C45" s="83">
        <v>4</v>
      </c>
      <c r="D45" s="110">
        <v>0.0021624518181573224</v>
      </c>
      <c r="E45" s="110">
        <v>2.6955984066298337</v>
      </c>
      <c r="F45" s="83" t="s">
        <v>2059</v>
      </c>
      <c r="G45" s="83" t="b">
        <v>0</v>
      </c>
      <c r="H45" s="83" t="b">
        <v>0</v>
      </c>
      <c r="I45" s="83" t="b">
        <v>0</v>
      </c>
      <c r="J45" s="83" t="b">
        <v>0</v>
      </c>
      <c r="K45" s="83" t="b">
        <v>0</v>
      </c>
      <c r="L45" s="83" t="b">
        <v>0</v>
      </c>
    </row>
    <row r="46" spans="1:12" ht="15">
      <c r="A46" s="84" t="s">
        <v>1553</v>
      </c>
      <c r="B46" s="83" t="s">
        <v>1452</v>
      </c>
      <c r="C46" s="83">
        <v>4</v>
      </c>
      <c r="D46" s="110">
        <v>0.001986755874973804</v>
      </c>
      <c r="E46" s="110">
        <v>2.3276216213352394</v>
      </c>
      <c r="F46" s="83" t="s">
        <v>2059</v>
      </c>
      <c r="G46" s="83" t="b">
        <v>0</v>
      </c>
      <c r="H46" s="83" t="b">
        <v>0</v>
      </c>
      <c r="I46" s="83" t="b">
        <v>0</v>
      </c>
      <c r="J46" s="83" t="b">
        <v>0</v>
      </c>
      <c r="K46" s="83" t="b">
        <v>0</v>
      </c>
      <c r="L46" s="83" t="b">
        <v>0</v>
      </c>
    </row>
    <row r="47" spans="1:12" ht="15">
      <c r="A47" s="84" t="s">
        <v>1428</v>
      </c>
      <c r="B47" s="83" t="s">
        <v>1546</v>
      </c>
      <c r="C47" s="83">
        <v>4</v>
      </c>
      <c r="D47" s="110">
        <v>0.0021624518181573224</v>
      </c>
      <c r="E47" s="110">
        <v>1.3531757258076278</v>
      </c>
      <c r="F47" s="83" t="s">
        <v>2059</v>
      </c>
      <c r="G47" s="83" t="b">
        <v>0</v>
      </c>
      <c r="H47" s="83" t="b">
        <v>0</v>
      </c>
      <c r="I47" s="83" t="b">
        <v>0</v>
      </c>
      <c r="J47" s="83" t="b">
        <v>0</v>
      </c>
      <c r="K47" s="83" t="b">
        <v>0</v>
      </c>
      <c r="L47" s="83" t="b">
        <v>0</v>
      </c>
    </row>
    <row r="48" spans="1:12" ht="15">
      <c r="A48" s="84" t="s">
        <v>1546</v>
      </c>
      <c r="B48" s="83" t="s">
        <v>1428</v>
      </c>
      <c r="C48" s="83">
        <v>4</v>
      </c>
      <c r="D48" s="110">
        <v>0.0021624518181573224</v>
      </c>
      <c r="E48" s="110">
        <v>1.3338705706122411</v>
      </c>
      <c r="F48" s="83" t="s">
        <v>2059</v>
      </c>
      <c r="G48" s="83" t="b">
        <v>0</v>
      </c>
      <c r="H48" s="83" t="b">
        <v>0</v>
      </c>
      <c r="I48" s="83" t="b">
        <v>0</v>
      </c>
      <c r="J48" s="83" t="b">
        <v>0</v>
      </c>
      <c r="K48" s="83" t="b">
        <v>0</v>
      </c>
      <c r="L48" s="83" t="b">
        <v>0</v>
      </c>
    </row>
    <row r="49" spans="1:12" ht="15">
      <c r="A49" s="84" t="s">
        <v>1480</v>
      </c>
      <c r="B49" s="83" t="s">
        <v>1434</v>
      </c>
      <c r="C49" s="83">
        <v>4</v>
      </c>
      <c r="D49" s="110">
        <v>0.0021624518181573224</v>
      </c>
      <c r="E49" s="110">
        <v>1.7413558971905092</v>
      </c>
      <c r="F49" s="83" t="s">
        <v>2059</v>
      </c>
      <c r="G49" s="83" t="b">
        <v>0</v>
      </c>
      <c r="H49" s="83" t="b">
        <v>0</v>
      </c>
      <c r="I49" s="83" t="b">
        <v>0</v>
      </c>
      <c r="J49" s="83" t="b">
        <v>0</v>
      </c>
      <c r="K49" s="83" t="b">
        <v>0</v>
      </c>
      <c r="L49" s="83" t="b">
        <v>0</v>
      </c>
    </row>
    <row r="50" spans="1:12" ht="15">
      <c r="A50" s="84" t="s">
        <v>1434</v>
      </c>
      <c r="B50" s="83" t="s">
        <v>1639</v>
      </c>
      <c r="C50" s="83">
        <v>4</v>
      </c>
      <c r="D50" s="110">
        <v>0.0021624518181573224</v>
      </c>
      <c r="E50" s="110">
        <v>2.1727196613494963</v>
      </c>
      <c r="F50" s="83" t="s">
        <v>2059</v>
      </c>
      <c r="G50" s="83" t="b">
        <v>0</v>
      </c>
      <c r="H50" s="83" t="b">
        <v>0</v>
      </c>
      <c r="I50" s="83" t="b">
        <v>0</v>
      </c>
      <c r="J50" s="83" t="b">
        <v>0</v>
      </c>
      <c r="K50" s="83" t="b">
        <v>0</v>
      </c>
      <c r="L50" s="83" t="b">
        <v>0</v>
      </c>
    </row>
    <row r="51" spans="1:12" ht="15">
      <c r="A51" s="84" t="s">
        <v>1578</v>
      </c>
      <c r="B51" s="83" t="s">
        <v>1432</v>
      </c>
      <c r="C51" s="83">
        <v>4</v>
      </c>
      <c r="D51" s="110">
        <v>0.0021624518181573224</v>
      </c>
      <c r="E51" s="110">
        <v>1.95523571713559</v>
      </c>
      <c r="F51" s="83" t="s">
        <v>2059</v>
      </c>
      <c r="G51" s="83" t="b">
        <v>0</v>
      </c>
      <c r="H51" s="83" t="b">
        <v>0</v>
      </c>
      <c r="I51" s="83" t="b">
        <v>0</v>
      </c>
      <c r="J51" s="83" t="b">
        <v>0</v>
      </c>
      <c r="K51" s="83" t="b">
        <v>0</v>
      </c>
      <c r="L51" s="83" t="b">
        <v>0</v>
      </c>
    </row>
    <row r="52" spans="1:12" ht="15">
      <c r="A52" s="84" t="s">
        <v>1437</v>
      </c>
      <c r="B52" s="83" t="s">
        <v>1580</v>
      </c>
      <c r="C52" s="83">
        <v>4</v>
      </c>
      <c r="D52" s="110">
        <v>0.0021624518181573224</v>
      </c>
      <c r="E52" s="110">
        <v>2.05877630904266</v>
      </c>
      <c r="F52" s="83" t="s">
        <v>2059</v>
      </c>
      <c r="G52" s="83" t="b">
        <v>0</v>
      </c>
      <c r="H52" s="83" t="b">
        <v>0</v>
      </c>
      <c r="I52" s="83" t="b">
        <v>0</v>
      </c>
      <c r="J52" s="83" t="b">
        <v>0</v>
      </c>
      <c r="K52" s="83" t="b">
        <v>0</v>
      </c>
      <c r="L52" s="83" t="b">
        <v>0</v>
      </c>
    </row>
    <row r="53" spans="1:12" ht="15">
      <c r="A53" s="84" t="s">
        <v>1468</v>
      </c>
      <c r="B53" s="83" t="s">
        <v>1484</v>
      </c>
      <c r="C53" s="83">
        <v>3</v>
      </c>
      <c r="D53" s="110">
        <v>0.0014900669062303527</v>
      </c>
      <c r="E53" s="110">
        <v>2.0935384153018717</v>
      </c>
      <c r="F53" s="83" t="s">
        <v>2059</v>
      </c>
      <c r="G53" s="83" t="b">
        <v>0</v>
      </c>
      <c r="H53" s="83" t="b">
        <v>0</v>
      </c>
      <c r="I53" s="83" t="b">
        <v>0</v>
      </c>
      <c r="J53" s="83" t="b">
        <v>1</v>
      </c>
      <c r="K53" s="83" t="b">
        <v>0</v>
      </c>
      <c r="L53" s="83" t="b">
        <v>0</v>
      </c>
    </row>
    <row r="54" spans="1:12" ht="15">
      <c r="A54" s="84" t="s">
        <v>1484</v>
      </c>
      <c r="B54" s="83" t="s">
        <v>1590</v>
      </c>
      <c r="C54" s="83">
        <v>3</v>
      </c>
      <c r="D54" s="110">
        <v>0.0014900669062303527</v>
      </c>
      <c r="E54" s="110">
        <v>2.6675696830295905</v>
      </c>
      <c r="F54" s="83" t="s">
        <v>2059</v>
      </c>
      <c r="G54" s="83" t="b">
        <v>1</v>
      </c>
      <c r="H54" s="83" t="b">
        <v>0</v>
      </c>
      <c r="I54" s="83" t="b">
        <v>0</v>
      </c>
      <c r="J54" s="83" t="b">
        <v>0</v>
      </c>
      <c r="K54" s="83" t="b">
        <v>0</v>
      </c>
      <c r="L54" s="83" t="b">
        <v>0</v>
      </c>
    </row>
    <row r="55" spans="1:12" ht="15">
      <c r="A55" s="84" t="s">
        <v>1590</v>
      </c>
      <c r="B55" s="83" t="s">
        <v>1647</v>
      </c>
      <c r="C55" s="83">
        <v>3</v>
      </c>
      <c r="D55" s="110">
        <v>0.0014900669062303527</v>
      </c>
      <c r="E55" s="110">
        <v>2.9685996786935718</v>
      </c>
      <c r="F55" s="83" t="s">
        <v>2059</v>
      </c>
      <c r="G55" s="83" t="b">
        <v>0</v>
      </c>
      <c r="H55" s="83" t="b">
        <v>0</v>
      </c>
      <c r="I55" s="83" t="b">
        <v>0</v>
      </c>
      <c r="J55" s="83" t="b">
        <v>0</v>
      </c>
      <c r="K55" s="83" t="b">
        <v>0</v>
      </c>
      <c r="L55" s="83" t="b">
        <v>0</v>
      </c>
    </row>
    <row r="56" spans="1:12" ht="15">
      <c r="A56" s="84" t="s">
        <v>1597</v>
      </c>
      <c r="B56" s="83" t="s">
        <v>1496</v>
      </c>
      <c r="C56" s="83">
        <v>3</v>
      </c>
      <c r="D56" s="110">
        <v>0.0014900669062303527</v>
      </c>
      <c r="E56" s="110">
        <v>2.6675696830295905</v>
      </c>
      <c r="F56" s="83" t="s">
        <v>2059</v>
      </c>
      <c r="G56" s="83" t="b">
        <v>0</v>
      </c>
      <c r="H56" s="83" t="b">
        <v>0</v>
      </c>
      <c r="I56" s="83" t="b">
        <v>0</v>
      </c>
      <c r="J56" s="83" t="b">
        <v>0</v>
      </c>
      <c r="K56" s="83" t="b">
        <v>0</v>
      </c>
      <c r="L56" s="83" t="b">
        <v>0</v>
      </c>
    </row>
    <row r="57" spans="1:12" ht="15">
      <c r="A57" s="84" t="s">
        <v>1496</v>
      </c>
      <c r="B57" s="83" t="s">
        <v>1432</v>
      </c>
      <c r="C57" s="83">
        <v>3</v>
      </c>
      <c r="D57" s="110">
        <v>0.0014900669062303527</v>
      </c>
      <c r="E57" s="110">
        <v>1.6261769978713654</v>
      </c>
      <c r="F57" s="83" t="s">
        <v>2059</v>
      </c>
      <c r="G57" s="83" t="b">
        <v>0</v>
      </c>
      <c r="H57" s="83" t="b">
        <v>0</v>
      </c>
      <c r="I57" s="83" t="b">
        <v>0</v>
      </c>
      <c r="J57" s="83" t="b">
        <v>0</v>
      </c>
      <c r="K57" s="83" t="b">
        <v>0</v>
      </c>
      <c r="L57" s="83" t="b">
        <v>0</v>
      </c>
    </row>
    <row r="58" spans="1:12" ht="15">
      <c r="A58" s="84" t="s">
        <v>1428</v>
      </c>
      <c r="B58" s="83" t="s">
        <v>1660</v>
      </c>
      <c r="C58" s="83">
        <v>3</v>
      </c>
      <c r="D58" s="110">
        <v>0.0014900669062303527</v>
      </c>
      <c r="E58" s="110">
        <v>1.5292669848633091</v>
      </c>
      <c r="F58" s="83" t="s">
        <v>2059</v>
      </c>
      <c r="G58" s="83" t="b">
        <v>0</v>
      </c>
      <c r="H58" s="83" t="b">
        <v>0</v>
      </c>
      <c r="I58" s="83" t="b">
        <v>0</v>
      </c>
      <c r="J58" s="83" t="b">
        <v>0</v>
      </c>
      <c r="K58" s="83" t="b">
        <v>0</v>
      </c>
      <c r="L58" s="83" t="b">
        <v>0</v>
      </c>
    </row>
    <row r="59" spans="1:12" ht="15">
      <c r="A59" s="84" t="s">
        <v>1660</v>
      </c>
      <c r="B59" s="83" t="s">
        <v>1444</v>
      </c>
      <c r="C59" s="83">
        <v>3</v>
      </c>
      <c r="D59" s="110">
        <v>0.0014900669062303527</v>
      </c>
      <c r="E59" s="110">
        <v>2.315387164918228</v>
      </c>
      <c r="F59" s="83" t="s">
        <v>2059</v>
      </c>
      <c r="G59" s="83" t="b">
        <v>0</v>
      </c>
      <c r="H59" s="83" t="b">
        <v>0</v>
      </c>
      <c r="I59" s="83" t="b">
        <v>0</v>
      </c>
      <c r="J59" s="83" t="b">
        <v>0</v>
      </c>
      <c r="K59" s="83" t="b">
        <v>0</v>
      </c>
      <c r="L59" s="83" t="b">
        <v>0</v>
      </c>
    </row>
    <row r="60" spans="1:12" ht="15">
      <c r="A60" s="84" t="s">
        <v>1453</v>
      </c>
      <c r="B60" s="83" t="s">
        <v>1661</v>
      </c>
      <c r="C60" s="83">
        <v>3</v>
      </c>
      <c r="D60" s="110">
        <v>0.0014900669062303527</v>
      </c>
      <c r="E60" s="110">
        <v>2.394568410965853</v>
      </c>
      <c r="F60" s="83" t="s">
        <v>2059</v>
      </c>
      <c r="G60" s="83" t="b">
        <v>0</v>
      </c>
      <c r="H60" s="83" t="b">
        <v>0</v>
      </c>
      <c r="I60" s="83" t="b">
        <v>0</v>
      </c>
      <c r="J60" s="83" t="b">
        <v>0</v>
      </c>
      <c r="K60" s="83" t="b">
        <v>0</v>
      </c>
      <c r="L60" s="83" t="b">
        <v>0</v>
      </c>
    </row>
    <row r="61" spans="1:12" ht="15">
      <c r="A61" s="84" t="s">
        <v>1661</v>
      </c>
      <c r="B61" s="83" t="s">
        <v>1662</v>
      </c>
      <c r="C61" s="83">
        <v>3</v>
      </c>
      <c r="D61" s="110">
        <v>0.0014900669062303527</v>
      </c>
      <c r="E61" s="110">
        <v>3.0935384153018717</v>
      </c>
      <c r="F61" s="83" t="s">
        <v>2059</v>
      </c>
      <c r="G61" s="83" t="b">
        <v>0</v>
      </c>
      <c r="H61" s="83" t="b">
        <v>0</v>
      </c>
      <c r="I61" s="83" t="b">
        <v>0</v>
      </c>
      <c r="J61" s="83" t="b">
        <v>0</v>
      </c>
      <c r="K61" s="83" t="b">
        <v>0</v>
      </c>
      <c r="L61" s="83" t="b">
        <v>0</v>
      </c>
    </row>
    <row r="62" spans="1:12" ht="15">
      <c r="A62" s="84" t="s">
        <v>1662</v>
      </c>
      <c r="B62" s="83" t="s">
        <v>1432</v>
      </c>
      <c r="C62" s="83">
        <v>3</v>
      </c>
      <c r="D62" s="110">
        <v>0.0014900669062303527</v>
      </c>
      <c r="E62" s="110">
        <v>2.0521457301436468</v>
      </c>
      <c r="F62" s="83" t="s">
        <v>2059</v>
      </c>
      <c r="G62" s="83" t="b">
        <v>0</v>
      </c>
      <c r="H62" s="83" t="b">
        <v>0</v>
      </c>
      <c r="I62" s="83" t="b">
        <v>0</v>
      </c>
      <c r="J62" s="83" t="b">
        <v>0</v>
      </c>
      <c r="K62" s="83" t="b">
        <v>0</v>
      </c>
      <c r="L62" s="83" t="b">
        <v>0</v>
      </c>
    </row>
    <row r="63" spans="1:12" ht="15">
      <c r="A63" s="84" t="s">
        <v>1432</v>
      </c>
      <c r="B63" s="83" t="s">
        <v>1663</v>
      </c>
      <c r="C63" s="83">
        <v>3</v>
      </c>
      <c r="D63" s="110">
        <v>0.0014900669062303527</v>
      </c>
      <c r="E63" s="110">
        <v>2.065509691701628</v>
      </c>
      <c r="F63" s="83" t="s">
        <v>2059</v>
      </c>
      <c r="G63" s="83" t="b">
        <v>0</v>
      </c>
      <c r="H63" s="83" t="b">
        <v>0</v>
      </c>
      <c r="I63" s="83" t="b">
        <v>0</v>
      </c>
      <c r="J63" s="83" t="b">
        <v>0</v>
      </c>
      <c r="K63" s="83" t="b">
        <v>0</v>
      </c>
      <c r="L63" s="83" t="b">
        <v>0</v>
      </c>
    </row>
    <row r="64" spans="1:12" ht="15">
      <c r="A64" s="84" t="s">
        <v>1457</v>
      </c>
      <c r="B64" s="83" t="s">
        <v>1664</v>
      </c>
      <c r="C64" s="83">
        <v>3</v>
      </c>
      <c r="D64" s="110">
        <v>0.0014900669062303527</v>
      </c>
      <c r="E64" s="110">
        <v>2.424531634343296</v>
      </c>
      <c r="F64" s="83" t="s">
        <v>2059</v>
      </c>
      <c r="G64" s="83" t="b">
        <v>0</v>
      </c>
      <c r="H64" s="83" t="b">
        <v>0</v>
      </c>
      <c r="I64" s="83" t="b">
        <v>0</v>
      </c>
      <c r="J64" s="83" t="b">
        <v>0</v>
      </c>
      <c r="K64" s="83" t="b">
        <v>0</v>
      </c>
      <c r="L64" s="83" t="b">
        <v>0</v>
      </c>
    </row>
    <row r="65" spans="1:12" ht="15">
      <c r="A65" s="84" t="s">
        <v>1464</v>
      </c>
      <c r="B65" s="83" t="s">
        <v>1464</v>
      </c>
      <c r="C65" s="83">
        <v>3</v>
      </c>
      <c r="D65" s="110">
        <v>0.0014900669062303527</v>
      </c>
      <c r="E65" s="110">
        <v>1.9272069935353466</v>
      </c>
      <c r="F65" s="83" t="s">
        <v>2059</v>
      </c>
      <c r="G65" s="83" t="b">
        <v>0</v>
      </c>
      <c r="H65" s="83" t="b">
        <v>0</v>
      </c>
      <c r="I65" s="83" t="b">
        <v>0</v>
      </c>
      <c r="J65" s="83" t="b">
        <v>0</v>
      </c>
      <c r="K65" s="83" t="b">
        <v>0</v>
      </c>
      <c r="L65" s="83" t="b">
        <v>0</v>
      </c>
    </row>
    <row r="66" spans="1:12" ht="15">
      <c r="A66" s="84" t="s">
        <v>1435</v>
      </c>
      <c r="B66" s="83" t="s">
        <v>1557</v>
      </c>
      <c r="C66" s="83">
        <v>3</v>
      </c>
      <c r="D66" s="110">
        <v>0.0014900669062303527</v>
      </c>
      <c r="E66" s="110">
        <v>1.9016528890629585</v>
      </c>
      <c r="F66" s="83" t="s">
        <v>2059</v>
      </c>
      <c r="G66" s="83" t="b">
        <v>0</v>
      </c>
      <c r="H66" s="83" t="b">
        <v>0</v>
      </c>
      <c r="I66" s="83" t="b">
        <v>0</v>
      </c>
      <c r="J66" s="83" t="b">
        <v>0</v>
      </c>
      <c r="K66" s="83" t="b">
        <v>0</v>
      </c>
      <c r="L66" s="83" t="b">
        <v>0</v>
      </c>
    </row>
    <row r="67" spans="1:12" ht="15">
      <c r="A67" s="84" t="s">
        <v>1428</v>
      </c>
      <c r="B67" s="83" t="s">
        <v>1450</v>
      </c>
      <c r="C67" s="83">
        <v>3</v>
      </c>
      <c r="D67" s="110">
        <v>0.0014900669062303527</v>
      </c>
      <c r="E67" s="110">
        <v>0.8022682569270467</v>
      </c>
      <c r="F67" s="83" t="s">
        <v>2059</v>
      </c>
      <c r="G67" s="83" t="b">
        <v>0</v>
      </c>
      <c r="H67" s="83" t="b">
        <v>0</v>
      </c>
      <c r="I67" s="83" t="b">
        <v>0</v>
      </c>
      <c r="J67" s="83" t="b">
        <v>0</v>
      </c>
      <c r="K67" s="83" t="b">
        <v>0</v>
      </c>
      <c r="L67" s="83" t="b">
        <v>0</v>
      </c>
    </row>
    <row r="68" spans="1:12" ht="15">
      <c r="A68" s="84" t="s">
        <v>1428</v>
      </c>
      <c r="B68" s="83" t="s">
        <v>1430</v>
      </c>
      <c r="C68" s="83">
        <v>3</v>
      </c>
      <c r="D68" s="110">
        <v>0.0014900669062303527</v>
      </c>
      <c r="E68" s="110">
        <v>0.27399447976000296</v>
      </c>
      <c r="F68" s="83" t="s">
        <v>2059</v>
      </c>
      <c r="G68" s="83" t="b">
        <v>0</v>
      </c>
      <c r="H68" s="83" t="b">
        <v>0</v>
      </c>
      <c r="I68" s="83" t="b">
        <v>0</v>
      </c>
      <c r="J68" s="83" t="b">
        <v>0</v>
      </c>
      <c r="K68" s="83" t="b">
        <v>0</v>
      </c>
      <c r="L68" s="83" t="b">
        <v>0</v>
      </c>
    </row>
    <row r="69" spans="1:12" ht="15">
      <c r="A69" s="84" t="s">
        <v>1500</v>
      </c>
      <c r="B69" s="83" t="s">
        <v>1431</v>
      </c>
      <c r="C69" s="83">
        <v>3</v>
      </c>
      <c r="D69" s="110">
        <v>0.0014900669062303527</v>
      </c>
      <c r="E69" s="110">
        <v>1.559230208240752</v>
      </c>
      <c r="F69" s="83" t="s">
        <v>2059</v>
      </c>
      <c r="G69" s="83" t="b">
        <v>0</v>
      </c>
      <c r="H69" s="83" t="b">
        <v>0</v>
      </c>
      <c r="I69" s="83" t="b">
        <v>0</v>
      </c>
      <c r="J69" s="83" t="b">
        <v>0</v>
      </c>
      <c r="K69" s="83" t="b">
        <v>0</v>
      </c>
      <c r="L69" s="83" t="b">
        <v>0</v>
      </c>
    </row>
    <row r="70" spans="1:12" ht="15">
      <c r="A70" s="84" t="s">
        <v>1431</v>
      </c>
      <c r="B70" s="83" t="s">
        <v>1430</v>
      </c>
      <c r="C70" s="83">
        <v>3</v>
      </c>
      <c r="D70" s="110">
        <v>0.0014900669062303527</v>
      </c>
      <c r="E70" s="110">
        <v>0.6921378745203276</v>
      </c>
      <c r="F70" s="83" t="s">
        <v>2059</v>
      </c>
      <c r="G70" s="83" t="b">
        <v>0</v>
      </c>
      <c r="H70" s="83" t="b">
        <v>0</v>
      </c>
      <c r="I70" s="83" t="b">
        <v>0</v>
      </c>
      <c r="J70" s="83" t="b">
        <v>0</v>
      </c>
      <c r="K70" s="83" t="b">
        <v>0</v>
      </c>
      <c r="L70" s="83" t="b">
        <v>0</v>
      </c>
    </row>
    <row r="71" spans="1:12" ht="15">
      <c r="A71" s="84" t="s">
        <v>1565</v>
      </c>
      <c r="B71" s="83" t="s">
        <v>1435</v>
      </c>
      <c r="C71" s="83">
        <v>3</v>
      </c>
      <c r="D71" s="110">
        <v>0.0014900669062303527</v>
      </c>
      <c r="E71" s="110">
        <v>2.0477809247411964</v>
      </c>
      <c r="F71" s="83" t="s">
        <v>2059</v>
      </c>
      <c r="G71" s="83" t="b">
        <v>0</v>
      </c>
      <c r="H71" s="83" t="b">
        <v>0</v>
      </c>
      <c r="I71" s="83" t="b">
        <v>0</v>
      </c>
      <c r="J71" s="83" t="b">
        <v>0</v>
      </c>
      <c r="K71" s="83" t="b">
        <v>0</v>
      </c>
      <c r="L71" s="83" t="b">
        <v>0</v>
      </c>
    </row>
    <row r="72" spans="1:12" ht="15">
      <c r="A72" s="84" t="s">
        <v>1452</v>
      </c>
      <c r="B72" s="83" t="s">
        <v>1428</v>
      </c>
      <c r="C72" s="83">
        <v>3</v>
      </c>
      <c r="D72" s="110">
        <v>0.0016218388636179914</v>
      </c>
      <c r="E72" s="110">
        <v>0.873139732080748</v>
      </c>
      <c r="F72" s="83" t="s">
        <v>2059</v>
      </c>
      <c r="G72" s="83" t="b">
        <v>0</v>
      </c>
      <c r="H72" s="83" t="b">
        <v>0</v>
      </c>
      <c r="I72" s="83" t="b">
        <v>0</v>
      </c>
      <c r="J72" s="83" t="b">
        <v>0</v>
      </c>
      <c r="K72" s="83" t="b">
        <v>0</v>
      </c>
      <c r="L72" s="83" t="b">
        <v>0</v>
      </c>
    </row>
    <row r="73" spans="1:12" ht="15">
      <c r="A73" s="84" t="s">
        <v>1440</v>
      </c>
      <c r="B73" s="83" t="s">
        <v>1430</v>
      </c>
      <c r="C73" s="83">
        <v>3</v>
      </c>
      <c r="D73" s="110">
        <v>0.0016218388636179914</v>
      </c>
      <c r="E73" s="110">
        <v>1.1392959058625467</v>
      </c>
      <c r="F73" s="83" t="s">
        <v>2059</v>
      </c>
      <c r="G73" s="83" t="b">
        <v>1</v>
      </c>
      <c r="H73" s="83" t="b">
        <v>0</v>
      </c>
      <c r="I73" s="83" t="b">
        <v>0</v>
      </c>
      <c r="J73" s="83" t="b">
        <v>0</v>
      </c>
      <c r="K73" s="83" t="b">
        <v>0</v>
      </c>
      <c r="L73" s="83" t="b">
        <v>0</v>
      </c>
    </row>
    <row r="74" spans="1:12" ht="15">
      <c r="A74" s="84" t="s">
        <v>1429</v>
      </c>
      <c r="B74" s="83" t="s">
        <v>1430</v>
      </c>
      <c r="C74" s="83">
        <v>3</v>
      </c>
      <c r="D74" s="110">
        <v>0.0014900669062303527</v>
      </c>
      <c r="E74" s="110">
        <v>0.5750244754239842</v>
      </c>
      <c r="F74" s="83" t="s">
        <v>2059</v>
      </c>
      <c r="G74" s="83" t="b">
        <v>0</v>
      </c>
      <c r="H74" s="83" t="b">
        <v>0</v>
      </c>
      <c r="I74" s="83" t="b">
        <v>0</v>
      </c>
      <c r="J74" s="83" t="b">
        <v>0</v>
      </c>
      <c r="K74" s="83" t="b">
        <v>0</v>
      </c>
      <c r="L74" s="83" t="b">
        <v>0</v>
      </c>
    </row>
    <row r="75" spans="1:12" ht="15">
      <c r="A75" s="84" t="s">
        <v>1488</v>
      </c>
      <c r="B75" s="83" t="s">
        <v>1498</v>
      </c>
      <c r="C75" s="83">
        <v>3</v>
      </c>
      <c r="D75" s="110">
        <v>0.0018471045126556426</v>
      </c>
      <c r="E75" s="110">
        <v>2.299592897734996</v>
      </c>
      <c r="F75" s="83" t="s">
        <v>2059</v>
      </c>
      <c r="G75" s="83" t="b">
        <v>0</v>
      </c>
      <c r="H75" s="83" t="b">
        <v>0</v>
      </c>
      <c r="I75" s="83" t="b">
        <v>0</v>
      </c>
      <c r="J75" s="83" t="b">
        <v>0</v>
      </c>
      <c r="K75" s="83" t="b">
        <v>0</v>
      </c>
      <c r="L75" s="83" t="b">
        <v>0</v>
      </c>
    </row>
    <row r="76" spans="1:12" ht="15">
      <c r="A76" s="84" t="s">
        <v>1431</v>
      </c>
      <c r="B76" s="83" t="s">
        <v>1429</v>
      </c>
      <c r="C76" s="83">
        <v>3</v>
      </c>
      <c r="D76" s="110">
        <v>0.0014900669062303527</v>
      </c>
      <c r="E76" s="110">
        <v>0.6611036407803588</v>
      </c>
      <c r="F76" s="83" t="s">
        <v>2059</v>
      </c>
      <c r="G76" s="83" t="b">
        <v>0</v>
      </c>
      <c r="H76" s="83" t="b">
        <v>0</v>
      </c>
      <c r="I76" s="83" t="b">
        <v>0</v>
      </c>
      <c r="J76" s="83" t="b">
        <v>0</v>
      </c>
      <c r="K76" s="83" t="b">
        <v>0</v>
      </c>
      <c r="L76" s="83" t="b">
        <v>0</v>
      </c>
    </row>
    <row r="77" spans="1:12" ht="15">
      <c r="A77" s="84" t="s">
        <v>1429</v>
      </c>
      <c r="B77" s="83" t="s">
        <v>1460</v>
      </c>
      <c r="C77" s="83">
        <v>3</v>
      </c>
      <c r="D77" s="110">
        <v>0.0014900669062303527</v>
      </c>
      <c r="E77" s="110">
        <v>1.1934748829401158</v>
      </c>
      <c r="F77" s="83" t="s">
        <v>2059</v>
      </c>
      <c r="G77" s="83" t="b">
        <v>0</v>
      </c>
      <c r="H77" s="83" t="b">
        <v>0</v>
      </c>
      <c r="I77" s="83" t="b">
        <v>0</v>
      </c>
      <c r="J77" s="83" t="b">
        <v>0</v>
      </c>
      <c r="K77" s="83" t="b">
        <v>0</v>
      </c>
      <c r="L77" s="83" t="b">
        <v>0</v>
      </c>
    </row>
    <row r="78" spans="1:12" ht="15">
      <c r="A78" s="84" t="s">
        <v>1571</v>
      </c>
      <c r="B78" s="83" t="s">
        <v>1460</v>
      </c>
      <c r="C78" s="83">
        <v>3</v>
      </c>
      <c r="D78" s="110">
        <v>0.0018471045126556426</v>
      </c>
      <c r="E78" s="110">
        <v>2.234867568098341</v>
      </c>
      <c r="F78" s="83" t="s">
        <v>2059</v>
      </c>
      <c r="G78" s="83" t="b">
        <v>0</v>
      </c>
      <c r="H78" s="83" t="b">
        <v>0</v>
      </c>
      <c r="I78" s="83" t="b">
        <v>0</v>
      </c>
      <c r="J78" s="83" t="b">
        <v>0</v>
      </c>
      <c r="K78" s="83" t="b">
        <v>0</v>
      </c>
      <c r="L78" s="83" t="b">
        <v>0</v>
      </c>
    </row>
    <row r="79" spans="1:12" ht="15">
      <c r="A79" s="84" t="s">
        <v>1429</v>
      </c>
      <c r="B79" s="83" t="s">
        <v>1571</v>
      </c>
      <c r="C79" s="83">
        <v>3</v>
      </c>
      <c r="D79" s="110">
        <v>0.0016218388636179914</v>
      </c>
      <c r="E79" s="110">
        <v>1.6084482309109338</v>
      </c>
      <c r="F79" s="83" t="s">
        <v>2059</v>
      </c>
      <c r="G79" s="83" t="b">
        <v>0</v>
      </c>
      <c r="H79" s="83" t="b">
        <v>0</v>
      </c>
      <c r="I79" s="83" t="b">
        <v>0</v>
      </c>
      <c r="J79" s="83" t="b">
        <v>0</v>
      </c>
      <c r="K79" s="83" t="b">
        <v>0</v>
      </c>
      <c r="L79" s="83" t="b">
        <v>0</v>
      </c>
    </row>
    <row r="80" spans="1:12" ht="15">
      <c r="A80" s="84" t="s">
        <v>1436</v>
      </c>
      <c r="B80" s="83" t="s">
        <v>1700</v>
      </c>
      <c r="C80" s="83">
        <v>3</v>
      </c>
      <c r="D80" s="110">
        <v>0.0014900669062303527</v>
      </c>
      <c r="E80" s="110">
        <v>2.123501638679315</v>
      </c>
      <c r="F80" s="83" t="s">
        <v>2059</v>
      </c>
      <c r="G80" s="83" t="b">
        <v>0</v>
      </c>
      <c r="H80" s="83" t="b">
        <v>0</v>
      </c>
      <c r="I80" s="83" t="b">
        <v>0</v>
      </c>
      <c r="J80" s="83" t="b">
        <v>0</v>
      </c>
      <c r="K80" s="83" t="b">
        <v>0</v>
      </c>
      <c r="L80" s="83" t="b">
        <v>0</v>
      </c>
    </row>
    <row r="81" spans="1:12" ht="15">
      <c r="A81" s="84" t="s">
        <v>1430</v>
      </c>
      <c r="B81" s="83" t="s">
        <v>1429</v>
      </c>
      <c r="C81" s="83">
        <v>3</v>
      </c>
      <c r="D81" s="110">
        <v>0.0014900669062303527</v>
      </c>
      <c r="E81" s="110">
        <v>0.5361649041720588</v>
      </c>
      <c r="F81" s="83" t="s">
        <v>2059</v>
      </c>
      <c r="G81" s="83" t="b">
        <v>0</v>
      </c>
      <c r="H81" s="83" t="b">
        <v>0</v>
      </c>
      <c r="I81" s="83" t="b">
        <v>0</v>
      </c>
      <c r="J81" s="83" t="b">
        <v>0</v>
      </c>
      <c r="K81" s="83" t="b">
        <v>0</v>
      </c>
      <c r="L81" s="83" t="b">
        <v>0</v>
      </c>
    </row>
    <row r="82" spans="1:12" ht="15">
      <c r="A82" s="84" t="s">
        <v>1428</v>
      </c>
      <c r="B82" s="83" t="s">
        <v>1498</v>
      </c>
      <c r="C82" s="83">
        <v>3</v>
      </c>
      <c r="D82" s="110">
        <v>0.0016218388636179914</v>
      </c>
      <c r="E82" s="110">
        <v>1.103298252591028</v>
      </c>
      <c r="F82" s="83" t="s">
        <v>2059</v>
      </c>
      <c r="G82" s="83" t="b">
        <v>0</v>
      </c>
      <c r="H82" s="83" t="b">
        <v>0</v>
      </c>
      <c r="I82" s="83" t="b">
        <v>0</v>
      </c>
      <c r="J82" s="83" t="b">
        <v>0</v>
      </c>
      <c r="K82" s="83" t="b">
        <v>0</v>
      </c>
      <c r="L82" s="83" t="b">
        <v>0</v>
      </c>
    </row>
    <row r="83" spans="1:12" ht="15">
      <c r="A83" s="84" t="s">
        <v>1473</v>
      </c>
      <c r="B83" s="83" t="s">
        <v>1429</v>
      </c>
      <c r="C83" s="83">
        <v>3</v>
      </c>
      <c r="D83" s="110">
        <v>0.0016218388636179914</v>
      </c>
      <c r="E83" s="110">
        <v>1.3301104217389343</v>
      </c>
      <c r="F83" s="83" t="s">
        <v>2059</v>
      </c>
      <c r="G83" s="83" t="b">
        <v>0</v>
      </c>
      <c r="H83" s="83" t="b">
        <v>0</v>
      </c>
      <c r="I83" s="83" t="b">
        <v>0</v>
      </c>
      <c r="J83" s="83" t="b">
        <v>0</v>
      </c>
      <c r="K83" s="83" t="b">
        <v>0</v>
      </c>
      <c r="L83" s="83" t="b">
        <v>0</v>
      </c>
    </row>
    <row r="84" spans="1:12" ht="15">
      <c r="A84" s="84" t="s">
        <v>1719</v>
      </c>
      <c r="B84" s="83" t="s">
        <v>1455</v>
      </c>
      <c r="C84" s="83">
        <v>3</v>
      </c>
      <c r="D84" s="110">
        <v>0.0018471045126556426</v>
      </c>
      <c r="E84" s="110">
        <v>2.424531634343296</v>
      </c>
      <c r="F84" s="83" t="s">
        <v>2059</v>
      </c>
      <c r="G84" s="83" t="b">
        <v>0</v>
      </c>
      <c r="H84" s="83" t="b">
        <v>0</v>
      </c>
      <c r="I84" s="83" t="b">
        <v>0</v>
      </c>
      <c r="J84" s="83" t="b">
        <v>0</v>
      </c>
      <c r="K84" s="83" t="b">
        <v>0</v>
      </c>
      <c r="L84" s="83" t="b">
        <v>0</v>
      </c>
    </row>
    <row r="85" spans="1:12" ht="15">
      <c r="A85" s="84" t="s">
        <v>1539</v>
      </c>
      <c r="B85" s="83" t="s">
        <v>1428</v>
      </c>
      <c r="C85" s="83">
        <v>3</v>
      </c>
      <c r="D85" s="110">
        <v>0.0018471045126556426</v>
      </c>
      <c r="E85" s="110">
        <v>1.288113080051566</v>
      </c>
      <c r="F85" s="83" t="s">
        <v>2059</v>
      </c>
      <c r="G85" s="83" t="b">
        <v>0</v>
      </c>
      <c r="H85" s="83" t="b">
        <v>0</v>
      </c>
      <c r="I85" s="83" t="b">
        <v>0</v>
      </c>
      <c r="J85" s="83" t="b">
        <v>0</v>
      </c>
      <c r="K85" s="83" t="b">
        <v>0</v>
      </c>
      <c r="L85" s="83" t="b">
        <v>0</v>
      </c>
    </row>
    <row r="86" spans="1:12" ht="15">
      <c r="A86" s="84" t="s">
        <v>1632</v>
      </c>
      <c r="B86" s="83" t="s">
        <v>1632</v>
      </c>
      <c r="C86" s="83">
        <v>3</v>
      </c>
      <c r="D86" s="110">
        <v>0.0018471045126556426</v>
      </c>
      <c r="E86" s="110">
        <v>2.9685996786935718</v>
      </c>
      <c r="F86" s="83" t="s">
        <v>2059</v>
      </c>
      <c r="G86" s="83" t="b">
        <v>0</v>
      </c>
      <c r="H86" s="83" t="b">
        <v>0</v>
      </c>
      <c r="I86" s="83" t="b">
        <v>0</v>
      </c>
      <c r="J86" s="83" t="b">
        <v>0</v>
      </c>
      <c r="K86" s="83" t="b">
        <v>0</v>
      </c>
      <c r="L86" s="83" t="b">
        <v>0</v>
      </c>
    </row>
    <row r="87" spans="1:12" ht="15">
      <c r="A87" s="84" t="s">
        <v>1735</v>
      </c>
      <c r="B87" s="83" t="s">
        <v>1736</v>
      </c>
      <c r="C87" s="83">
        <v>3</v>
      </c>
      <c r="D87" s="110">
        <v>0.0014900669062303527</v>
      </c>
      <c r="E87" s="110">
        <v>3.0935384153018717</v>
      </c>
      <c r="F87" s="83" t="s">
        <v>2059</v>
      </c>
      <c r="G87" s="83" t="b">
        <v>0</v>
      </c>
      <c r="H87" s="83" t="b">
        <v>0</v>
      </c>
      <c r="I87" s="83" t="b">
        <v>0</v>
      </c>
      <c r="J87" s="83" t="b">
        <v>0</v>
      </c>
      <c r="K87" s="83" t="b">
        <v>0</v>
      </c>
      <c r="L87" s="83" t="b">
        <v>0</v>
      </c>
    </row>
    <row r="88" spans="1:12" ht="15">
      <c r="A88" s="84" t="s">
        <v>1736</v>
      </c>
      <c r="B88" s="83" t="s">
        <v>1737</v>
      </c>
      <c r="C88" s="83">
        <v>3</v>
      </c>
      <c r="D88" s="110">
        <v>0.0014900669062303527</v>
      </c>
      <c r="E88" s="110">
        <v>3.0935384153018717</v>
      </c>
      <c r="F88" s="83" t="s">
        <v>2059</v>
      </c>
      <c r="G88" s="83" t="b">
        <v>0</v>
      </c>
      <c r="H88" s="83" t="b">
        <v>0</v>
      </c>
      <c r="I88" s="83" t="b">
        <v>0</v>
      </c>
      <c r="J88" s="83" t="b">
        <v>0</v>
      </c>
      <c r="K88" s="83" t="b">
        <v>0</v>
      </c>
      <c r="L88" s="83" t="b">
        <v>0</v>
      </c>
    </row>
    <row r="89" spans="1:12" ht="15">
      <c r="A89" s="84" t="s">
        <v>1457</v>
      </c>
      <c r="B89" s="83" t="s">
        <v>1548</v>
      </c>
      <c r="C89" s="83">
        <v>3</v>
      </c>
      <c r="D89" s="110">
        <v>0.0018471045126556426</v>
      </c>
      <c r="E89" s="110">
        <v>2.123501638679315</v>
      </c>
      <c r="F89" s="83" t="s">
        <v>2059</v>
      </c>
      <c r="G89" s="83" t="b">
        <v>0</v>
      </c>
      <c r="H89" s="83" t="b">
        <v>0</v>
      </c>
      <c r="I89" s="83" t="b">
        <v>0</v>
      </c>
      <c r="J89" s="83" t="b">
        <v>0</v>
      </c>
      <c r="K89" s="83" t="b">
        <v>0</v>
      </c>
      <c r="L89" s="83" t="b">
        <v>0</v>
      </c>
    </row>
    <row r="90" spans="1:12" ht="15">
      <c r="A90" s="84" t="s">
        <v>1750</v>
      </c>
      <c r="B90" s="83" t="s">
        <v>1751</v>
      </c>
      <c r="C90" s="83">
        <v>3</v>
      </c>
      <c r="D90" s="110">
        <v>0.0018471045126556426</v>
      </c>
      <c r="E90" s="110">
        <v>3.0935384153018717</v>
      </c>
      <c r="F90" s="83" t="s">
        <v>2059</v>
      </c>
      <c r="G90" s="83" t="b">
        <v>0</v>
      </c>
      <c r="H90" s="83" t="b">
        <v>0</v>
      </c>
      <c r="I90" s="83" t="b">
        <v>0</v>
      </c>
      <c r="J90" s="83" t="b">
        <v>0</v>
      </c>
      <c r="K90" s="83" t="b">
        <v>0</v>
      </c>
      <c r="L90" s="83" t="b">
        <v>0</v>
      </c>
    </row>
    <row r="91" spans="1:12" ht="15">
      <c r="A91" s="84" t="s">
        <v>1430</v>
      </c>
      <c r="B91" s="83" t="s">
        <v>1499</v>
      </c>
      <c r="C91" s="83">
        <v>3</v>
      </c>
      <c r="D91" s="110">
        <v>0.0014900669062303527</v>
      </c>
      <c r="E91" s="110">
        <v>1.3965029107430524</v>
      </c>
      <c r="F91" s="83" t="s">
        <v>2059</v>
      </c>
      <c r="G91" s="83" t="b">
        <v>0</v>
      </c>
      <c r="H91" s="83" t="b">
        <v>0</v>
      </c>
      <c r="I91" s="83" t="b">
        <v>0</v>
      </c>
      <c r="J91" s="83" t="b">
        <v>0</v>
      </c>
      <c r="K91" s="83" t="b">
        <v>0</v>
      </c>
      <c r="L91" s="83" t="b">
        <v>0</v>
      </c>
    </row>
    <row r="92" spans="1:12" ht="15">
      <c r="A92" s="84" t="s">
        <v>1755</v>
      </c>
      <c r="B92" s="83" t="s">
        <v>1458</v>
      </c>
      <c r="C92" s="83">
        <v>3</v>
      </c>
      <c r="D92" s="110">
        <v>0.0014900669062303527</v>
      </c>
      <c r="E92" s="110">
        <v>2.4567163177146973</v>
      </c>
      <c r="F92" s="83" t="s">
        <v>2059</v>
      </c>
      <c r="G92" s="83" t="b">
        <v>0</v>
      </c>
      <c r="H92" s="83" t="b">
        <v>0</v>
      </c>
      <c r="I92" s="83" t="b">
        <v>0</v>
      </c>
      <c r="J92" s="83" t="b">
        <v>1</v>
      </c>
      <c r="K92" s="83" t="b">
        <v>0</v>
      </c>
      <c r="L92" s="83" t="b">
        <v>0</v>
      </c>
    </row>
    <row r="93" spans="1:12" ht="15">
      <c r="A93" s="84" t="s">
        <v>1582</v>
      </c>
      <c r="B93" s="83" t="s">
        <v>1758</v>
      </c>
      <c r="C93" s="83">
        <v>3</v>
      </c>
      <c r="D93" s="110">
        <v>0.0018471045126556426</v>
      </c>
      <c r="E93" s="110">
        <v>2.871689665685515</v>
      </c>
      <c r="F93" s="83" t="s">
        <v>2059</v>
      </c>
      <c r="G93" s="83" t="b">
        <v>0</v>
      </c>
      <c r="H93" s="83" t="b">
        <v>0</v>
      </c>
      <c r="I93" s="83" t="b">
        <v>0</v>
      </c>
      <c r="J93" s="83" t="b">
        <v>0</v>
      </c>
      <c r="K93" s="83" t="b">
        <v>0</v>
      </c>
      <c r="L93" s="83" t="b">
        <v>0</v>
      </c>
    </row>
    <row r="94" spans="1:12" ht="15">
      <c r="A94" s="84" t="s">
        <v>1587</v>
      </c>
      <c r="B94" s="83" t="s">
        <v>1763</v>
      </c>
      <c r="C94" s="83">
        <v>2</v>
      </c>
      <c r="D94" s="110">
        <v>0.0010812259090786612</v>
      </c>
      <c r="E94" s="110">
        <v>2.9685996786935718</v>
      </c>
      <c r="F94" s="83" t="s">
        <v>2059</v>
      </c>
      <c r="G94" s="83" t="b">
        <v>0</v>
      </c>
      <c r="H94" s="83" t="b">
        <v>0</v>
      </c>
      <c r="I94" s="83" t="b">
        <v>0</v>
      </c>
      <c r="J94" s="83" t="b">
        <v>0</v>
      </c>
      <c r="K94" s="83" t="b">
        <v>0</v>
      </c>
      <c r="L94" s="83" t="b">
        <v>0</v>
      </c>
    </row>
    <row r="95" spans="1:12" ht="15">
      <c r="A95" s="84" t="s">
        <v>1589</v>
      </c>
      <c r="B95" s="83" t="s">
        <v>1768</v>
      </c>
      <c r="C95" s="83">
        <v>2</v>
      </c>
      <c r="D95" s="110">
        <v>0.0010812259090786612</v>
      </c>
      <c r="E95" s="110">
        <v>2.9685996786935718</v>
      </c>
      <c r="F95" s="83" t="s">
        <v>2059</v>
      </c>
      <c r="G95" s="83" t="b">
        <v>0</v>
      </c>
      <c r="H95" s="83" t="b">
        <v>0</v>
      </c>
      <c r="I95" s="83" t="b">
        <v>0</v>
      </c>
      <c r="J95" s="83" t="b">
        <v>0</v>
      </c>
      <c r="K95" s="83" t="b">
        <v>0</v>
      </c>
      <c r="L95" s="83" t="b">
        <v>0</v>
      </c>
    </row>
    <row r="96" spans="1:12" ht="15">
      <c r="A96" s="84" t="s">
        <v>1456</v>
      </c>
      <c r="B96" s="83" t="s">
        <v>1770</v>
      </c>
      <c r="C96" s="83">
        <v>2</v>
      </c>
      <c r="D96" s="110">
        <v>0.0010812259090786612</v>
      </c>
      <c r="E96" s="110">
        <v>2.491478423973909</v>
      </c>
      <c r="F96" s="83" t="s">
        <v>2059</v>
      </c>
      <c r="G96" s="83" t="b">
        <v>1</v>
      </c>
      <c r="H96" s="83" t="b">
        <v>0</v>
      </c>
      <c r="I96" s="83" t="b">
        <v>0</v>
      </c>
      <c r="J96" s="83" t="b">
        <v>0</v>
      </c>
      <c r="K96" s="83" t="b">
        <v>0</v>
      </c>
      <c r="L96" s="83" t="b">
        <v>0</v>
      </c>
    </row>
    <row r="97" spans="1:12" ht="15">
      <c r="A97" s="84" t="s">
        <v>1770</v>
      </c>
      <c r="B97" s="83" t="s">
        <v>1648</v>
      </c>
      <c r="C97" s="83">
        <v>2</v>
      </c>
      <c r="D97" s="110">
        <v>0.0010812259090786612</v>
      </c>
      <c r="E97" s="110">
        <v>3.0935384153018717</v>
      </c>
      <c r="F97" s="83" t="s">
        <v>2059</v>
      </c>
      <c r="G97" s="83" t="b">
        <v>0</v>
      </c>
      <c r="H97" s="83" t="b">
        <v>0</v>
      </c>
      <c r="I97" s="83" t="b">
        <v>0</v>
      </c>
      <c r="J97" s="83" t="b">
        <v>0</v>
      </c>
      <c r="K97" s="83" t="b">
        <v>0</v>
      </c>
      <c r="L97" s="83" t="b">
        <v>0</v>
      </c>
    </row>
    <row r="98" spans="1:12" ht="15">
      <c r="A98" s="84" t="s">
        <v>1648</v>
      </c>
      <c r="B98" s="83" t="s">
        <v>1476</v>
      </c>
      <c r="C98" s="83">
        <v>2</v>
      </c>
      <c r="D98" s="110">
        <v>0.0010812259090786612</v>
      </c>
      <c r="E98" s="110">
        <v>2.394568410965853</v>
      </c>
      <c r="F98" s="83" t="s">
        <v>2059</v>
      </c>
      <c r="G98" s="83" t="b">
        <v>0</v>
      </c>
      <c r="H98" s="83" t="b">
        <v>0</v>
      </c>
      <c r="I98" s="83" t="b">
        <v>0</v>
      </c>
      <c r="J98" s="83" t="b">
        <v>0</v>
      </c>
      <c r="K98" s="83" t="b">
        <v>0</v>
      </c>
      <c r="L98" s="83" t="b">
        <v>0</v>
      </c>
    </row>
    <row r="99" spans="1:12" ht="15">
      <c r="A99" s="84" t="s">
        <v>1441</v>
      </c>
      <c r="B99" s="83" t="s">
        <v>1649</v>
      </c>
      <c r="C99" s="83">
        <v>2</v>
      </c>
      <c r="D99" s="110">
        <v>0.0012314030084370953</v>
      </c>
      <c r="E99" s="110">
        <v>2.164119489587579</v>
      </c>
      <c r="F99" s="83" t="s">
        <v>2059</v>
      </c>
      <c r="G99" s="83" t="b">
        <v>0</v>
      </c>
      <c r="H99" s="83" t="b">
        <v>0</v>
      </c>
      <c r="I99" s="83" t="b">
        <v>0</v>
      </c>
      <c r="J99" s="83" t="b">
        <v>0</v>
      </c>
      <c r="K99" s="83" t="b">
        <v>0</v>
      </c>
      <c r="L99" s="83" t="b">
        <v>0</v>
      </c>
    </row>
    <row r="100" spans="1:12" ht="15">
      <c r="A100" s="84" t="s">
        <v>1654</v>
      </c>
      <c r="B100" s="83" t="s">
        <v>1449</v>
      </c>
      <c r="C100" s="83">
        <v>2</v>
      </c>
      <c r="D100" s="110">
        <v>0.0012314030084370953</v>
      </c>
      <c r="E100" s="110">
        <v>2.190448428309928</v>
      </c>
      <c r="F100" s="83" t="s">
        <v>2059</v>
      </c>
      <c r="G100" s="83" t="b">
        <v>0</v>
      </c>
      <c r="H100" s="83" t="b">
        <v>0</v>
      </c>
      <c r="I100" s="83" t="b">
        <v>0</v>
      </c>
      <c r="J100" s="83" t="b">
        <v>0</v>
      </c>
      <c r="K100" s="83" t="b">
        <v>0</v>
      </c>
      <c r="L100" s="83" t="b">
        <v>0</v>
      </c>
    </row>
    <row r="101" spans="1:12" ht="15">
      <c r="A101" s="84" t="s">
        <v>1775</v>
      </c>
      <c r="B101" s="83" t="s">
        <v>1592</v>
      </c>
      <c r="C101" s="83">
        <v>2</v>
      </c>
      <c r="D101" s="110">
        <v>0.0012314030084370953</v>
      </c>
      <c r="E101" s="110">
        <v>2.9685996786935718</v>
      </c>
      <c r="F101" s="83" t="s">
        <v>2059</v>
      </c>
      <c r="G101" s="83" t="b">
        <v>0</v>
      </c>
      <c r="H101" s="83" t="b">
        <v>0</v>
      </c>
      <c r="I101" s="83" t="b">
        <v>0</v>
      </c>
      <c r="J101" s="83" t="b">
        <v>0</v>
      </c>
      <c r="K101" s="83" t="b">
        <v>0</v>
      </c>
      <c r="L101" s="83" t="b">
        <v>0</v>
      </c>
    </row>
    <row r="102" spans="1:12" ht="15">
      <c r="A102" s="84" t="s">
        <v>1777</v>
      </c>
      <c r="B102" s="83" t="s">
        <v>1657</v>
      </c>
      <c r="C102" s="83">
        <v>2</v>
      </c>
      <c r="D102" s="110">
        <v>0.0010812259090786612</v>
      </c>
      <c r="E102" s="110">
        <v>3.0935384153018717</v>
      </c>
      <c r="F102" s="83" t="s">
        <v>2059</v>
      </c>
      <c r="G102" s="83" t="b">
        <v>0</v>
      </c>
      <c r="H102" s="83" t="b">
        <v>0</v>
      </c>
      <c r="I102" s="83" t="b">
        <v>0</v>
      </c>
      <c r="J102" s="83" t="b">
        <v>0</v>
      </c>
      <c r="K102" s="83" t="b">
        <v>0</v>
      </c>
      <c r="L102" s="83" t="b">
        <v>0</v>
      </c>
    </row>
    <row r="103" spans="1:12" ht="15">
      <c r="A103" s="84" t="s">
        <v>1432</v>
      </c>
      <c r="B103" s="83" t="s">
        <v>1781</v>
      </c>
      <c r="C103" s="83">
        <v>2</v>
      </c>
      <c r="D103" s="110">
        <v>0.0010812259090786612</v>
      </c>
      <c r="E103" s="110">
        <v>2.065509691701628</v>
      </c>
      <c r="F103" s="83" t="s">
        <v>2059</v>
      </c>
      <c r="G103" s="83" t="b">
        <v>0</v>
      </c>
      <c r="H103" s="83" t="b">
        <v>0</v>
      </c>
      <c r="I103" s="83" t="b">
        <v>0</v>
      </c>
      <c r="J103" s="83" t="b">
        <v>0</v>
      </c>
      <c r="K103" s="83" t="b">
        <v>0</v>
      </c>
      <c r="L103" s="83" t="b">
        <v>0</v>
      </c>
    </row>
    <row r="104" spans="1:12" ht="15">
      <c r="A104" s="84" t="s">
        <v>1781</v>
      </c>
      <c r="B104" s="83" t="s">
        <v>1428</v>
      </c>
      <c r="C104" s="83">
        <v>2</v>
      </c>
      <c r="D104" s="110">
        <v>0.0010812259090786612</v>
      </c>
      <c r="E104" s="110">
        <v>1.5099618296679225</v>
      </c>
      <c r="F104" s="83" t="s">
        <v>2059</v>
      </c>
      <c r="G104" s="83" t="b">
        <v>0</v>
      </c>
      <c r="H104" s="83" t="b">
        <v>0</v>
      </c>
      <c r="I104" s="83" t="b">
        <v>0</v>
      </c>
      <c r="J104" s="83" t="b">
        <v>0</v>
      </c>
      <c r="K104" s="83" t="b">
        <v>0</v>
      </c>
      <c r="L104" s="83" t="b">
        <v>0</v>
      </c>
    </row>
    <row r="105" spans="1:12" ht="15">
      <c r="A105" s="84" t="s">
        <v>1784</v>
      </c>
      <c r="B105" s="83" t="s">
        <v>1428</v>
      </c>
      <c r="C105" s="83">
        <v>2</v>
      </c>
      <c r="D105" s="110">
        <v>0.0010812259090786612</v>
      </c>
      <c r="E105" s="110">
        <v>1.5099618296679225</v>
      </c>
      <c r="F105" s="83" t="s">
        <v>2059</v>
      </c>
      <c r="G105" s="83" t="b">
        <v>0</v>
      </c>
      <c r="H105" s="83" t="b">
        <v>0</v>
      </c>
      <c r="I105" s="83" t="b">
        <v>0</v>
      </c>
      <c r="J105" s="83" t="b">
        <v>0</v>
      </c>
      <c r="K105" s="83" t="b">
        <v>0</v>
      </c>
      <c r="L105" s="83" t="b">
        <v>0</v>
      </c>
    </row>
    <row r="106" spans="1:12" ht="15">
      <c r="A106" s="84" t="s">
        <v>1429</v>
      </c>
      <c r="B106" s="83" t="s">
        <v>1464</v>
      </c>
      <c r="C106" s="83">
        <v>2</v>
      </c>
      <c r="D106" s="110">
        <v>0.0010812259090786612</v>
      </c>
      <c r="E106" s="110">
        <v>1.0521457301436465</v>
      </c>
      <c r="F106" s="83" t="s">
        <v>2059</v>
      </c>
      <c r="G106" s="83" t="b">
        <v>0</v>
      </c>
      <c r="H106" s="83" t="b">
        <v>0</v>
      </c>
      <c r="I106" s="83" t="b">
        <v>0</v>
      </c>
      <c r="J106" s="83" t="b">
        <v>0</v>
      </c>
      <c r="K106" s="83" t="b">
        <v>0</v>
      </c>
      <c r="L106" s="83" t="b">
        <v>0</v>
      </c>
    </row>
    <row r="107" spans="1:12" ht="15">
      <c r="A107" s="84" t="s">
        <v>1429</v>
      </c>
      <c r="B107" s="83" t="s">
        <v>1438</v>
      </c>
      <c r="C107" s="83">
        <v>2</v>
      </c>
      <c r="D107" s="110">
        <v>0.0010812259090786612</v>
      </c>
      <c r="E107" s="110">
        <v>0.8302969805272902</v>
      </c>
      <c r="F107" s="83" t="s">
        <v>2059</v>
      </c>
      <c r="G107" s="83" t="b">
        <v>0</v>
      </c>
      <c r="H107" s="83" t="b">
        <v>0</v>
      </c>
      <c r="I107" s="83" t="b">
        <v>0</v>
      </c>
      <c r="J107" s="83" t="b">
        <v>1</v>
      </c>
      <c r="K107" s="83" t="b">
        <v>0</v>
      </c>
      <c r="L107" s="83" t="b">
        <v>0</v>
      </c>
    </row>
    <row r="108" spans="1:12" ht="15">
      <c r="A108" s="84" t="s">
        <v>1557</v>
      </c>
      <c r="B108" s="83" t="s">
        <v>1557</v>
      </c>
      <c r="C108" s="83">
        <v>2</v>
      </c>
      <c r="D108" s="110">
        <v>0.0010812259090786612</v>
      </c>
      <c r="E108" s="110">
        <v>2.5706596700215343</v>
      </c>
      <c r="F108" s="83" t="s">
        <v>2059</v>
      </c>
      <c r="G108" s="83" t="b">
        <v>0</v>
      </c>
      <c r="H108" s="83" t="b">
        <v>0</v>
      </c>
      <c r="I108" s="83" t="b">
        <v>0</v>
      </c>
      <c r="J108" s="83" t="b">
        <v>0</v>
      </c>
      <c r="K108" s="83" t="b">
        <v>0</v>
      </c>
      <c r="L108" s="83" t="b">
        <v>0</v>
      </c>
    </row>
    <row r="109" spans="1:12" ht="15">
      <c r="A109" s="84" t="s">
        <v>1667</v>
      </c>
      <c r="B109" s="83" t="s">
        <v>1791</v>
      </c>
      <c r="C109" s="83">
        <v>2</v>
      </c>
      <c r="D109" s="110">
        <v>0.0010812259090786612</v>
      </c>
      <c r="E109" s="110">
        <v>3.269629674357553</v>
      </c>
      <c r="F109" s="83" t="s">
        <v>2059</v>
      </c>
      <c r="G109" s="83" t="b">
        <v>0</v>
      </c>
      <c r="H109" s="83" t="b">
        <v>0</v>
      </c>
      <c r="I109" s="83" t="b">
        <v>0</v>
      </c>
      <c r="J109" s="83" t="b">
        <v>1</v>
      </c>
      <c r="K109" s="83" t="b">
        <v>0</v>
      </c>
      <c r="L109" s="83" t="b">
        <v>0</v>
      </c>
    </row>
    <row r="110" spans="1:12" ht="15">
      <c r="A110" s="84" t="s">
        <v>1452</v>
      </c>
      <c r="B110" s="83" t="s">
        <v>1438</v>
      </c>
      <c r="C110" s="83">
        <v>2</v>
      </c>
      <c r="D110" s="110">
        <v>0.0010812259090786612</v>
      </c>
      <c r="E110" s="110">
        <v>1.4567163177146973</v>
      </c>
      <c r="F110" s="83" t="s">
        <v>2059</v>
      </c>
      <c r="G110" s="83" t="b">
        <v>0</v>
      </c>
      <c r="H110" s="83" t="b">
        <v>0</v>
      </c>
      <c r="I110" s="83" t="b">
        <v>0</v>
      </c>
      <c r="J110" s="83" t="b">
        <v>1</v>
      </c>
      <c r="K110" s="83" t="b">
        <v>0</v>
      </c>
      <c r="L110" s="83" t="b">
        <v>0</v>
      </c>
    </row>
    <row r="111" spans="1:12" ht="15">
      <c r="A111" s="84" t="s">
        <v>1438</v>
      </c>
      <c r="B111" s="83" t="s">
        <v>1430</v>
      </c>
      <c r="C111" s="83">
        <v>2</v>
      </c>
      <c r="D111" s="110">
        <v>0.0010812259090786612</v>
      </c>
      <c r="E111" s="110">
        <v>0.8170766111286275</v>
      </c>
      <c r="F111" s="83" t="s">
        <v>2059</v>
      </c>
      <c r="G111" s="83" t="b">
        <v>1</v>
      </c>
      <c r="H111" s="83" t="b">
        <v>0</v>
      </c>
      <c r="I111" s="83" t="b">
        <v>0</v>
      </c>
      <c r="J111" s="83" t="b">
        <v>0</v>
      </c>
      <c r="K111" s="83" t="b">
        <v>0</v>
      </c>
      <c r="L111" s="83" t="b">
        <v>0</v>
      </c>
    </row>
    <row r="112" spans="1:12" ht="15">
      <c r="A112" s="84" t="s">
        <v>1430</v>
      </c>
      <c r="B112" s="83" t="s">
        <v>1514</v>
      </c>
      <c r="C112" s="83">
        <v>2</v>
      </c>
      <c r="D112" s="110">
        <v>0.0010812259090786612</v>
      </c>
      <c r="E112" s="110">
        <v>1.278403598665058</v>
      </c>
      <c r="F112" s="83" t="s">
        <v>2059</v>
      </c>
      <c r="G112" s="83" t="b">
        <v>0</v>
      </c>
      <c r="H112" s="83" t="b">
        <v>0</v>
      </c>
      <c r="I112" s="83" t="b">
        <v>0</v>
      </c>
      <c r="J112" s="83" t="b">
        <v>0</v>
      </c>
      <c r="K112" s="83" t="b">
        <v>0</v>
      </c>
      <c r="L112" s="83" t="b">
        <v>0</v>
      </c>
    </row>
    <row r="113" spans="1:12" ht="15">
      <c r="A113" s="84" t="s">
        <v>1436</v>
      </c>
      <c r="B113" s="83" t="s">
        <v>1515</v>
      </c>
      <c r="C113" s="83">
        <v>2</v>
      </c>
      <c r="D113" s="110">
        <v>0.0010812259090786612</v>
      </c>
      <c r="E113" s="110">
        <v>1.5794335943290392</v>
      </c>
      <c r="F113" s="83" t="s">
        <v>2059</v>
      </c>
      <c r="G113" s="83" t="b">
        <v>0</v>
      </c>
      <c r="H113" s="83" t="b">
        <v>0</v>
      </c>
      <c r="I113" s="83" t="b">
        <v>0</v>
      </c>
      <c r="J113" s="83" t="b">
        <v>0</v>
      </c>
      <c r="K113" s="83" t="b">
        <v>0</v>
      </c>
      <c r="L113" s="83" t="b">
        <v>0</v>
      </c>
    </row>
    <row r="114" spans="1:12" ht="15">
      <c r="A114" s="84" t="s">
        <v>1797</v>
      </c>
      <c r="B114" s="83" t="s">
        <v>1436</v>
      </c>
      <c r="C114" s="83">
        <v>2</v>
      </c>
      <c r="D114" s="110">
        <v>0.0012314030084370953</v>
      </c>
      <c r="E114" s="110">
        <v>2.123501638679315</v>
      </c>
      <c r="F114" s="83" t="s">
        <v>2059</v>
      </c>
      <c r="G114" s="83" t="b">
        <v>0</v>
      </c>
      <c r="H114" s="83" t="b">
        <v>0</v>
      </c>
      <c r="I114" s="83" t="b">
        <v>0</v>
      </c>
      <c r="J114" s="83" t="b">
        <v>0</v>
      </c>
      <c r="K114" s="83" t="b">
        <v>0</v>
      </c>
      <c r="L114" s="83" t="b">
        <v>0</v>
      </c>
    </row>
    <row r="115" spans="1:12" ht="15">
      <c r="A115" s="84" t="s">
        <v>1517</v>
      </c>
      <c r="B115" s="83" t="s">
        <v>1496</v>
      </c>
      <c r="C115" s="83">
        <v>2</v>
      </c>
      <c r="D115" s="110">
        <v>0.0012314030084370953</v>
      </c>
      <c r="E115" s="110">
        <v>2.123501638679315</v>
      </c>
      <c r="F115" s="83" t="s">
        <v>2059</v>
      </c>
      <c r="G115" s="83" t="b">
        <v>1</v>
      </c>
      <c r="H115" s="83" t="b">
        <v>0</v>
      </c>
      <c r="I115" s="83" t="b">
        <v>0</v>
      </c>
      <c r="J115" s="83" t="b">
        <v>0</v>
      </c>
      <c r="K115" s="83" t="b">
        <v>0</v>
      </c>
      <c r="L115" s="83" t="b">
        <v>0</v>
      </c>
    </row>
    <row r="116" spans="1:12" ht="15">
      <c r="A116" s="84" t="s">
        <v>1799</v>
      </c>
      <c r="B116" s="83" t="s">
        <v>1800</v>
      </c>
      <c r="C116" s="83">
        <v>2</v>
      </c>
      <c r="D116" s="110">
        <v>0.0012314030084370953</v>
      </c>
      <c r="E116" s="110">
        <v>3.269629674357553</v>
      </c>
      <c r="F116" s="83" t="s">
        <v>2059</v>
      </c>
      <c r="G116" s="83" t="b">
        <v>0</v>
      </c>
      <c r="H116" s="83" t="b">
        <v>0</v>
      </c>
      <c r="I116" s="83" t="b">
        <v>0</v>
      </c>
      <c r="J116" s="83" t="b">
        <v>0</v>
      </c>
      <c r="K116" s="83" t="b">
        <v>0</v>
      </c>
      <c r="L116" s="83" t="b">
        <v>0</v>
      </c>
    </row>
    <row r="117" spans="1:12" ht="15">
      <c r="A117" s="84" t="s">
        <v>1562</v>
      </c>
      <c r="B117" s="83" t="s">
        <v>1564</v>
      </c>
      <c r="C117" s="83">
        <v>2</v>
      </c>
      <c r="D117" s="110">
        <v>0.0012314030084370953</v>
      </c>
      <c r="E117" s="110">
        <v>2.4737496570134776</v>
      </c>
      <c r="F117" s="83" t="s">
        <v>2059</v>
      </c>
      <c r="G117" s="83" t="b">
        <v>0</v>
      </c>
      <c r="H117" s="83" t="b">
        <v>0</v>
      </c>
      <c r="I117" s="83" t="b">
        <v>0</v>
      </c>
      <c r="J117" s="83" t="b">
        <v>0</v>
      </c>
      <c r="K117" s="83" t="b">
        <v>0</v>
      </c>
      <c r="L117" s="83" t="b">
        <v>0</v>
      </c>
    </row>
    <row r="118" spans="1:12" ht="15">
      <c r="A118" s="84" t="s">
        <v>1677</v>
      </c>
      <c r="B118" s="83" t="s">
        <v>1429</v>
      </c>
      <c r="C118" s="83">
        <v>2</v>
      </c>
      <c r="D118" s="110">
        <v>0.0010812259090786612</v>
      </c>
      <c r="E118" s="110">
        <v>1.6311404174029156</v>
      </c>
      <c r="F118" s="83" t="s">
        <v>2059</v>
      </c>
      <c r="G118" s="83" t="b">
        <v>0</v>
      </c>
      <c r="H118" s="83" t="b">
        <v>0</v>
      </c>
      <c r="I118" s="83" t="b">
        <v>0</v>
      </c>
      <c r="J118" s="83" t="b">
        <v>0</v>
      </c>
      <c r="K118" s="83" t="b">
        <v>0</v>
      </c>
      <c r="L118" s="83" t="b">
        <v>0</v>
      </c>
    </row>
    <row r="119" spans="1:12" ht="15">
      <c r="A119" s="84" t="s">
        <v>1430</v>
      </c>
      <c r="B119" s="83" t="s">
        <v>1430</v>
      </c>
      <c r="C119" s="83">
        <v>2</v>
      </c>
      <c r="D119" s="110">
        <v>0.0010812259090786612</v>
      </c>
      <c r="E119" s="110">
        <v>0.3911078788563463</v>
      </c>
      <c r="F119" s="83" t="s">
        <v>2059</v>
      </c>
      <c r="G119" s="83" t="b">
        <v>0</v>
      </c>
      <c r="H119" s="83" t="b">
        <v>0</v>
      </c>
      <c r="I119" s="83" t="b">
        <v>0</v>
      </c>
      <c r="J119" s="83" t="b">
        <v>0</v>
      </c>
      <c r="K119" s="83" t="b">
        <v>0</v>
      </c>
      <c r="L119" s="83" t="b">
        <v>0</v>
      </c>
    </row>
    <row r="120" spans="1:12" ht="15">
      <c r="A120" s="84" t="s">
        <v>1458</v>
      </c>
      <c r="B120" s="83" t="s">
        <v>1522</v>
      </c>
      <c r="C120" s="83">
        <v>2</v>
      </c>
      <c r="D120" s="110">
        <v>0.0010812259090786612</v>
      </c>
      <c r="E120" s="110">
        <v>1.8804635899930202</v>
      </c>
      <c r="F120" s="83" t="s">
        <v>2059</v>
      </c>
      <c r="G120" s="83" t="b">
        <v>1</v>
      </c>
      <c r="H120" s="83" t="b">
        <v>0</v>
      </c>
      <c r="I120" s="83" t="b">
        <v>0</v>
      </c>
      <c r="J120" s="83" t="b">
        <v>0</v>
      </c>
      <c r="K120" s="83" t="b">
        <v>0</v>
      </c>
      <c r="L120" s="83" t="b">
        <v>0</v>
      </c>
    </row>
    <row r="121" spans="1:12" ht="15">
      <c r="A121" s="84" t="s">
        <v>1470</v>
      </c>
      <c r="B121" s="83" t="s">
        <v>1430</v>
      </c>
      <c r="C121" s="83">
        <v>2</v>
      </c>
      <c r="D121" s="110">
        <v>0.0010812259090786612</v>
      </c>
      <c r="E121" s="110">
        <v>1.0979032207043218</v>
      </c>
      <c r="F121" s="83" t="s">
        <v>2059</v>
      </c>
      <c r="G121" s="83" t="b">
        <v>0</v>
      </c>
      <c r="H121" s="83" t="b">
        <v>0</v>
      </c>
      <c r="I121" s="83" t="b">
        <v>0</v>
      </c>
      <c r="J121" s="83" t="b">
        <v>0</v>
      </c>
      <c r="K121" s="83" t="b">
        <v>0</v>
      </c>
      <c r="L121" s="83" t="b">
        <v>0</v>
      </c>
    </row>
    <row r="122" spans="1:12" ht="15">
      <c r="A122" s="84" t="s">
        <v>1522</v>
      </c>
      <c r="B122" s="83" t="s">
        <v>1452</v>
      </c>
      <c r="C122" s="83">
        <v>2</v>
      </c>
      <c r="D122" s="110">
        <v>0.0010812259090786612</v>
      </c>
      <c r="E122" s="110">
        <v>1.8804635899930202</v>
      </c>
      <c r="F122" s="83" t="s">
        <v>2059</v>
      </c>
      <c r="G122" s="83" t="b">
        <v>0</v>
      </c>
      <c r="H122" s="83" t="b">
        <v>0</v>
      </c>
      <c r="I122" s="83" t="b">
        <v>0</v>
      </c>
      <c r="J122" s="83" t="b">
        <v>0</v>
      </c>
      <c r="K122" s="83" t="b">
        <v>0</v>
      </c>
      <c r="L122" s="83" t="b">
        <v>0</v>
      </c>
    </row>
    <row r="123" spans="1:12" ht="15">
      <c r="A123" s="84" t="s">
        <v>1428</v>
      </c>
      <c r="B123" s="83" t="s">
        <v>1669</v>
      </c>
      <c r="C123" s="83">
        <v>2</v>
      </c>
      <c r="D123" s="110">
        <v>0.0010812259090786612</v>
      </c>
      <c r="E123" s="110">
        <v>1.3531757258076278</v>
      </c>
      <c r="F123" s="83" t="s">
        <v>2059</v>
      </c>
      <c r="G123" s="83" t="b">
        <v>0</v>
      </c>
      <c r="H123" s="83" t="b">
        <v>0</v>
      </c>
      <c r="I123" s="83" t="b">
        <v>0</v>
      </c>
      <c r="J123" s="83" t="b">
        <v>1</v>
      </c>
      <c r="K123" s="83" t="b">
        <v>0</v>
      </c>
      <c r="L123" s="83" t="b">
        <v>0</v>
      </c>
    </row>
    <row r="124" spans="1:12" ht="15">
      <c r="A124" s="84" t="s">
        <v>1669</v>
      </c>
      <c r="B124" s="83" t="s">
        <v>1440</v>
      </c>
      <c r="C124" s="83">
        <v>2</v>
      </c>
      <c r="D124" s="110">
        <v>0.0010812259090786612</v>
      </c>
      <c r="E124" s="110">
        <v>2.0935384153018717</v>
      </c>
      <c r="F124" s="83" t="s">
        <v>2059</v>
      </c>
      <c r="G124" s="83" t="b">
        <v>1</v>
      </c>
      <c r="H124" s="83" t="b">
        <v>0</v>
      </c>
      <c r="I124" s="83" t="b">
        <v>0</v>
      </c>
      <c r="J124" s="83" t="b">
        <v>1</v>
      </c>
      <c r="K124" s="83" t="b">
        <v>0</v>
      </c>
      <c r="L124" s="83" t="b">
        <v>0</v>
      </c>
    </row>
    <row r="125" spans="1:12" ht="15">
      <c r="A125" s="84" t="s">
        <v>1680</v>
      </c>
      <c r="B125" s="83" t="s">
        <v>1452</v>
      </c>
      <c r="C125" s="83">
        <v>2</v>
      </c>
      <c r="D125" s="110">
        <v>0.0010812259090786612</v>
      </c>
      <c r="E125" s="110">
        <v>2.2484403752876148</v>
      </c>
      <c r="F125" s="83" t="s">
        <v>2059</v>
      </c>
      <c r="G125" s="83" t="b">
        <v>0</v>
      </c>
      <c r="H125" s="83" t="b">
        <v>0</v>
      </c>
      <c r="I125" s="83" t="b">
        <v>0</v>
      </c>
      <c r="J125" s="83" t="b">
        <v>0</v>
      </c>
      <c r="K125" s="83" t="b">
        <v>0</v>
      </c>
      <c r="L125" s="83" t="b">
        <v>0</v>
      </c>
    </row>
    <row r="126" spans="1:12" ht="15">
      <c r="A126" s="84" t="s">
        <v>1428</v>
      </c>
      <c r="B126" s="83" t="s">
        <v>1440</v>
      </c>
      <c r="C126" s="83">
        <v>2</v>
      </c>
      <c r="D126" s="110">
        <v>0.0010812259090786612</v>
      </c>
      <c r="E126" s="110">
        <v>0.529266984863309</v>
      </c>
      <c r="F126" s="83" t="s">
        <v>2059</v>
      </c>
      <c r="G126" s="83" t="b">
        <v>0</v>
      </c>
      <c r="H126" s="83" t="b">
        <v>0</v>
      </c>
      <c r="I126" s="83" t="b">
        <v>0</v>
      </c>
      <c r="J126" s="83" t="b">
        <v>1</v>
      </c>
      <c r="K126" s="83" t="b">
        <v>0</v>
      </c>
      <c r="L126" s="83" t="b">
        <v>0</v>
      </c>
    </row>
    <row r="127" spans="1:12" ht="15">
      <c r="A127" s="84" t="s">
        <v>1816</v>
      </c>
      <c r="B127" s="83" t="s">
        <v>1559</v>
      </c>
      <c r="C127" s="83">
        <v>2</v>
      </c>
      <c r="D127" s="110">
        <v>0.0010812259090786612</v>
      </c>
      <c r="E127" s="110">
        <v>2.871689665685515</v>
      </c>
      <c r="F127" s="83" t="s">
        <v>2059</v>
      </c>
      <c r="G127" s="83" t="b">
        <v>0</v>
      </c>
      <c r="H127" s="83" t="b">
        <v>0</v>
      </c>
      <c r="I127" s="83" t="b">
        <v>0</v>
      </c>
      <c r="J127" s="83" t="b">
        <v>0</v>
      </c>
      <c r="K127" s="83" t="b">
        <v>0</v>
      </c>
      <c r="L127" s="83" t="b">
        <v>0</v>
      </c>
    </row>
    <row r="128" spans="1:12" ht="15">
      <c r="A128" s="84" t="s">
        <v>1817</v>
      </c>
      <c r="B128" s="83" t="s">
        <v>1681</v>
      </c>
      <c r="C128" s="83">
        <v>2</v>
      </c>
      <c r="D128" s="110">
        <v>0.0010812259090786612</v>
      </c>
      <c r="E128" s="110">
        <v>3.0935384153018717</v>
      </c>
      <c r="F128" s="83" t="s">
        <v>2059</v>
      </c>
      <c r="G128" s="83" t="b">
        <v>1</v>
      </c>
      <c r="H128" s="83" t="b">
        <v>0</v>
      </c>
      <c r="I128" s="83" t="b">
        <v>0</v>
      </c>
      <c r="J128" s="83" t="b">
        <v>0</v>
      </c>
      <c r="K128" s="83" t="b">
        <v>0</v>
      </c>
      <c r="L128" s="83" t="b">
        <v>0</v>
      </c>
    </row>
    <row r="129" spans="1:12" ht="15">
      <c r="A129" s="84" t="s">
        <v>1471</v>
      </c>
      <c r="B129" s="83" t="s">
        <v>1442</v>
      </c>
      <c r="C129" s="83">
        <v>2</v>
      </c>
      <c r="D129" s="110">
        <v>0.0010812259090786612</v>
      </c>
      <c r="E129" s="110">
        <v>1.5750244754239842</v>
      </c>
      <c r="F129" s="83" t="s">
        <v>2059</v>
      </c>
      <c r="G129" s="83" t="b">
        <v>0</v>
      </c>
      <c r="H129" s="83" t="b">
        <v>0</v>
      </c>
      <c r="I129" s="83" t="b">
        <v>0</v>
      </c>
      <c r="J129" s="83" t="b">
        <v>0</v>
      </c>
      <c r="K129" s="83" t="b">
        <v>0</v>
      </c>
      <c r="L129" s="83" t="b">
        <v>0</v>
      </c>
    </row>
    <row r="130" spans="1:12" ht="15">
      <c r="A130" s="84" t="s">
        <v>1430</v>
      </c>
      <c r="B130" s="83" t="s">
        <v>1472</v>
      </c>
      <c r="C130" s="83">
        <v>2</v>
      </c>
      <c r="D130" s="110">
        <v>0.0010812259090786612</v>
      </c>
      <c r="E130" s="110">
        <v>1.0821089535210897</v>
      </c>
      <c r="F130" s="83" t="s">
        <v>2059</v>
      </c>
      <c r="G130" s="83" t="b">
        <v>0</v>
      </c>
      <c r="H130" s="83" t="b">
        <v>0</v>
      </c>
      <c r="I130" s="83" t="b">
        <v>0</v>
      </c>
      <c r="J130" s="83" t="b">
        <v>0</v>
      </c>
      <c r="K130" s="83" t="b">
        <v>0</v>
      </c>
      <c r="L130" s="83" t="b">
        <v>0</v>
      </c>
    </row>
    <row r="131" spans="1:12" ht="15">
      <c r="A131" s="84" t="s">
        <v>1606</v>
      </c>
      <c r="B131" s="83" t="s">
        <v>1445</v>
      </c>
      <c r="C131" s="83">
        <v>2</v>
      </c>
      <c r="D131" s="110">
        <v>0.0010812259090786612</v>
      </c>
      <c r="E131" s="110">
        <v>2.014357169254247</v>
      </c>
      <c r="F131" s="83" t="s">
        <v>2059</v>
      </c>
      <c r="G131" s="83" t="b">
        <v>1</v>
      </c>
      <c r="H131" s="83" t="b">
        <v>0</v>
      </c>
      <c r="I131" s="83" t="b">
        <v>0</v>
      </c>
      <c r="J131" s="83" t="b">
        <v>0</v>
      </c>
      <c r="K131" s="83" t="b">
        <v>0</v>
      </c>
      <c r="L131" s="83" t="b">
        <v>0</v>
      </c>
    </row>
    <row r="132" spans="1:12" ht="15">
      <c r="A132" s="84" t="s">
        <v>1821</v>
      </c>
      <c r="B132" s="83" t="s">
        <v>1822</v>
      </c>
      <c r="C132" s="83">
        <v>2</v>
      </c>
      <c r="D132" s="110">
        <v>0.0010812259090786612</v>
      </c>
      <c r="E132" s="110">
        <v>3.269629674357553</v>
      </c>
      <c r="F132" s="83" t="s">
        <v>2059</v>
      </c>
      <c r="G132" s="83" t="b">
        <v>0</v>
      </c>
      <c r="H132" s="83" t="b">
        <v>0</v>
      </c>
      <c r="I132" s="83" t="b">
        <v>0</v>
      </c>
      <c r="J132" s="83" t="b">
        <v>0</v>
      </c>
      <c r="K132" s="83" t="b">
        <v>0</v>
      </c>
      <c r="L132" s="83" t="b">
        <v>0</v>
      </c>
    </row>
    <row r="133" spans="1:12" ht="15">
      <c r="A133" s="84" t="s">
        <v>1824</v>
      </c>
      <c r="B133" s="83" t="s">
        <v>1449</v>
      </c>
      <c r="C133" s="83">
        <v>2</v>
      </c>
      <c r="D133" s="110">
        <v>0.0012314030084370953</v>
      </c>
      <c r="E133" s="110">
        <v>2.3665396873656093</v>
      </c>
      <c r="F133" s="83" t="s">
        <v>2059</v>
      </c>
      <c r="G133" s="83" t="b">
        <v>0</v>
      </c>
      <c r="H133" s="83" t="b">
        <v>0</v>
      </c>
      <c r="I133" s="83" t="b">
        <v>0</v>
      </c>
      <c r="J133" s="83" t="b">
        <v>0</v>
      </c>
      <c r="K133" s="83" t="b">
        <v>0</v>
      </c>
      <c r="L133" s="83" t="b">
        <v>0</v>
      </c>
    </row>
    <row r="134" spans="1:12" ht="15">
      <c r="A134" s="84" t="s">
        <v>1567</v>
      </c>
      <c r="B134" s="83" t="s">
        <v>1436</v>
      </c>
      <c r="C134" s="83">
        <v>2</v>
      </c>
      <c r="D134" s="110">
        <v>0.0010812259090786612</v>
      </c>
      <c r="E134" s="110">
        <v>1.7255616300072771</v>
      </c>
      <c r="F134" s="83" t="s">
        <v>2059</v>
      </c>
      <c r="G134" s="83" t="b">
        <v>0</v>
      </c>
      <c r="H134" s="83" t="b">
        <v>0</v>
      </c>
      <c r="I134" s="83" t="b">
        <v>0</v>
      </c>
      <c r="J134" s="83" t="b">
        <v>0</v>
      </c>
      <c r="K134" s="83" t="b">
        <v>0</v>
      </c>
      <c r="L134" s="83" t="b">
        <v>0</v>
      </c>
    </row>
    <row r="135" spans="1:12" ht="15">
      <c r="A135" s="84" t="s">
        <v>1436</v>
      </c>
      <c r="B135" s="83" t="s">
        <v>1469</v>
      </c>
      <c r="C135" s="83">
        <v>2</v>
      </c>
      <c r="D135" s="110">
        <v>0.0010812259090786612</v>
      </c>
      <c r="E135" s="110">
        <v>1.383138949185071</v>
      </c>
      <c r="F135" s="83" t="s">
        <v>2059</v>
      </c>
      <c r="G135" s="83" t="b">
        <v>0</v>
      </c>
      <c r="H135" s="83" t="b">
        <v>0</v>
      </c>
      <c r="I135" s="83" t="b">
        <v>0</v>
      </c>
      <c r="J135" s="83" t="b">
        <v>0</v>
      </c>
      <c r="K135" s="83" t="b">
        <v>0</v>
      </c>
      <c r="L135" s="83" t="b">
        <v>0</v>
      </c>
    </row>
    <row r="136" spans="1:12" ht="15">
      <c r="A136" s="84" t="s">
        <v>1428</v>
      </c>
      <c r="B136" s="83" t="s">
        <v>1608</v>
      </c>
      <c r="C136" s="83">
        <v>2</v>
      </c>
      <c r="D136" s="110">
        <v>0.0010812259090786612</v>
      </c>
      <c r="E136" s="110">
        <v>1.2282369891993279</v>
      </c>
      <c r="F136" s="83" t="s">
        <v>2059</v>
      </c>
      <c r="G136" s="83" t="b">
        <v>0</v>
      </c>
      <c r="H136" s="83" t="b">
        <v>0</v>
      </c>
      <c r="I136" s="83" t="b">
        <v>0</v>
      </c>
      <c r="J136" s="83" t="b">
        <v>0</v>
      </c>
      <c r="K136" s="83" t="b">
        <v>0</v>
      </c>
      <c r="L136" s="83" t="b">
        <v>0</v>
      </c>
    </row>
    <row r="137" spans="1:12" ht="15">
      <c r="A137" s="84" t="s">
        <v>1453</v>
      </c>
      <c r="B137" s="83" t="s">
        <v>1840</v>
      </c>
      <c r="C137" s="83">
        <v>2</v>
      </c>
      <c r="D137" s="110">
        <v>0.0012314030084370953</v>
      </c>
      <c r="E137" s="110">
        <v>2.394568410965853</v>
      </c>
      <c r="F137" s="83" t="s">
        <v>2059</v>
      </c>
      <c r="G137" s="83" t="b">
        <v>0</v>
      </c>
      <c r="H137" s="83" t="b">
        <v>0</v>
      </c>
      <c r="I137" s="83" t="b">
        <v>0</v>
      </c>
      <c r="J137" s="83" t="b">
        <v>0</v>
      </c>
      <c r="K137" s="83" t="b">
        <v>0</v>
      </c>
      <c r="L137" s="83" t="b">
        <v>0</v>
      </c>
    </row>
    <row r="138" spans="1:12" ht="15">
      <c r="A138" s="84" t="s">
        <v>1840</v>
      </c>
      <c r="B138" s="83" t="s">
        <v>1841</v>
      </c>
      <c r="C138" s="83">
        <v>2</v>
      </c>
      <c r="D138" s="110">
        <v>0.0012314030084370953</v>
      </c>
      <c r="E138" s="110">
        <v>3.269629674357553</v>
      </c>
      <c r="F138" s="83" t="s">
        <v>2059</v>
      </c>
      <c r="G138" s="83" t="b">
        <v>0</v>
      </c>
      <c r="H138" s="83" t="b">
        <v>0</v>
      </c>
      <c r="I138" s="83" t="b">
        <v>0</v>
      </c>
      <c r="J138" s="83" t="b">
        <v>0</v>
      </c>
      <c r="K138" s="83" t="b">
        <v>0</v>
      </c>
      <c r="L138" s="83" t="b">
        <v>0</v>
      </c>
    </row>
    <row r="139" spans="1:12" ht="15">
      <c r="A139" s="84" t="s">
        <v>1448</v>
      </c>
      <c r="B139" s="83" t="s">
        <v>1460</v>
      </c>
      <c r="C139" s="83">
        <v>2</v>
      </c>
      <c r="D139" s="110">
        <v>0.0010812259090786612</v>
      </c>
      <c r="E139" s="110">
        <v>1.5536263307227538</v>
      </c>
      <c r="F139" s="83" t="s">
        <v>2059</v>
      </c>
      <c r="G139" s="83" t="b">
        <v>0</v>
      </c>
      <c r="H139" s="83" t="b">
        <v>0</v>
      </c>
      <c r="I139" s="83" t="b">
        <v>0</v>
      </c>
      <c r="J139" s="83" t="b">
        <v>0</v>
      </c>
      <c r="K139" s="83" t="b">
        <v>0</v>
      </c>
      <c r="L139" s="83" t="b">
        <v>0</v>
      </c>
    </row>
    <row r="140" spans="1:12" ht="15">
      <c r="A140" s="84" t="s">
        <v>1690</v>
      </c>
      <c r="B140" s="83" t="s">
        <v>1464</v>
      </c>
      <c r="C140" s="83">
        <v>2</v>
      </c>
      <c r="D140" s="110">
        <v>0.0010812259090786612</v>
      </c>
      <c r="E140" s="110">
        <v>2.315387164918228</v>
      </c>
      <c r="F140" s="83" t="s">
        <v>2059</v>
      </c>
      <c r="G140" s="83" t="b">
        <v>0</v>
      </c>
      <c r="H140" s="83" t="b">
        <v>0</v>
      </c>
      <c r="I140" s="83" t="b">
        <v>0</v>
      </c>
      <c r="J140" s="83" t="b">
        <v>0</v>
      </c>
      <c r="K140" s="83" t="b">
        <v>0</v>
      </c>
      <c r="L140" s="83" t="b">
        <v>0</v>
      </c>
    </row>
    <row r="141" spans="1:12" ht="15">
      <c r="A141" s="84" t="s">
        <v>1472</v>
      </c>
      <c r="B141" s="83" t="s">
        <v>1431</v>
      </c>
      <c r="C141" s="83">
        <v>2</v>
      </c>
      <c r="D141" s="110">
        <v>0.0012314030084370953</v>
      </c>
      <c r="E141" s="110">
        <v>1.1868443040411027</v>
      </c>
      <c r="F141" s="83" t="s">
        <v>2059</v>
      </c>
      <c r="G141" s="83" t="b">
        <v>0</v>
      </c>
      <c r="H141" s="83" t="b">
        <v>0</v>
      </c>
      <c r="I141" s="83" t="b">
        <v>0</v>
      </c>
      <c r="J141" s="83" t="b">
        <v>0</v>
      </c>
      <c r="K141" s="83" t="b">
        <v>0</v>
      </c>
      <c r="L141" s="83" t="b">
        <v>0</v>
      </c>
    </row>
    <row r="142" spans="1:12" ht="15">
      <c r="A142" s="84" t="s">
        <v>1536</v>
      </c>
      <c r="B142" s="83" t="s">
        <v>1502</v>
      </c>
      <c r="C142" s="83">
        <v>2</v>
      </c>
      <c r="D142" s="110">
        <v>0.0010812259090786612</v>
      </c>
      <c r="E142" s="110">
        <v>2.7925084196378904</v>
      </c>
      <c r="F142" s="83" t="s">
        <v>2059</v>
      </c>
      <c r="G142" s="83" t="b">
        <v>0</v>
      </c>
      <c r="H142" s="83" t="b">
        <v>0</v>
      </c>
      <c r="I142" s="83" t="b">
        <v>0</v>
      </c>
      <c r="J142" s="83" t="b">
        <v>0</v>
      </c>
      <c r="K142" s="83" t="b">
        <v>0</v>
      </c>
      <c r="L142" s="83" t="b">
        <v>0</v>
      </c>
    </row>
    <row r="143" spans="1:12" ht="15">
      <c r="A143" s="84" t="s">
        <v>1514</v>
      </c>
      <c r="B143" s="83" t="s">
        <v>1432</v>
      </c>
      <c r="C143" s="83">
        <v>2</v>
      </c>
      <c r="D143" s="110">
        <v>0.0010812259090786612</v>
      </c>
      <c r="E143" s="110">
        <v>1.5080776857933709</v>
      </c>
      <c r="F143" s="83" t="s">
        <v>2059</v>
      </c>
      <c r="G143" s="83" t="b">
        <v>0</v>
      </c>
      <c r="H143" s="83" t="b">
        <v>0</v>
      </c>
      <c r="I143" s="83" t="b">
        <v>0</v>
      </c>
      <c r="J143" s="83" t="b">
        <v>0</v>
      </c>
      <c r="K143" s="83" t="b">
        <v>0</v>
      </c>
      <c r="L143" s="83" t="b">
        <v>0</v>
      </c>
    </row>
    <row r="144" spans="1:12" ht="15">
      <c r="A144" s="84" t="s">
        <v>1432</v>
      </c>
      <c r="B144" s="83" t="s">
        <v>1462</v>
      </c>
      <c r="C144" s="83">
        <v>2</v>
      </c>
      <c r="D144" s="110">
        <v>0.0010812259090786612</v>
      </c>
      <c r="E144" s="110">
        <v>1.2873584413179846</v>
      </c>
      <c r="F144" s="83" t="s">
        <v>2059</v>
      </c>
      <c r="G144" s="83" t="b">
        <v>0</v>
      </c>
      <c r="H144" s="83" t="b">
        <v>0</v>
      </c>
      <c r="I144" s="83" t="b">
        <v>0</v>
      </c>
      <c r="J144" s="83" t="b">
        <v>0</v>
      </c>
      <c r="K144" s="83" t="b">
        <v>0</v>
      </c>
      <c r="L144" s="83" t="b">
        <v>0</v>
      </c>
    </row>
    <row r="145" spans="1:12" ht="15">
      <c r="A145" s="84" t="s">
        <v>1432</v>
      </c>
      <c r="B145" s="83" t="s">
        <v>1501</v>
      </c>
      <c r="C145" s="83">
        <v>2</v>
      </c>
      <c r="D145" s="110">
        <v>0.0010812259090786612</v>
      </c>
      <c r="E145" s="110">
        <v>1.4634497003736657</v>
      </c>
      <c r="F145" s="83" t="s">
        <v>2059</v>
      </c>
      <c r="G145" s="83" t="b">
        <v>0</v>
      </c>
      <c r="H145" s="83" t="b">
        <v>0</v>
      </c>
      <c r="I145" s="83" t="b">
        <v>0</v>
      </c>
      <c r="J145" s="83" t="b">
        <v>0</v>
      </c>
      <c r="K145" s="83" t="b">
        <v>0</v>
      </c>
      <c r="L145" s="83" t="b">
        <v>0</v>
      </c>
    </row>
    <row r="146" spans="1:12" ht="15">
      <c r="A146" s="84" t="s">
        <v>1538</v>
      </c>
      <c r="B146" s="83" t="s">
        <v>1479</v>
      </c>
      <c r="C146" s="83">
        <v>2</v>
      </c>
      <c r="D146" s="110">
        <v>0.0010812259090786612</v>
      </c>
      <c r="E146" s="110">
        <v>2.1727196613494963</v>
      </c>
      <c r="F146" s="83" t="s">
        <v>2059</v>
      </c>
      <c r="G146" s="83" t="b">
        <v>0</v>
      </c>
      <c r="H146" s="83" t="b">
        <v>0</v>
      </c>
      <c r="I146" s="83" t="b">
        <v>0</v>
      </c>
      <c r="J146" s="83" t="b">
        <v>0</v>
      </c>
      <c r="K146" s="83" t="b">
        <v>0</v>
      </c>
      <c r="L146" s="83" t="b">
        <v>0</v>
      </c>
    </row>
    <row r="147" spans="1:12" ht="15">
      <c r="A147" s="84" t="s">
        <v>1572</v>
      </c>
      <c r="B147" s="83" t="s">
        <v>1434</v>
      </c>
      <c r="C147" s="83">
        <v>2</v>
      </c>
      <c r="D147" s="110">
        <v>0.0010812259090786612</v>
      </c>
      <c r="E147" s="110">
        <v>1.7413558971905092</v>
      </c>
      <c r="F147" s="83" t="s">
        <v>2059</v>
      </c>
      <c r="G147" s="83" t="b">
        <v>0</v>
      </c>
      <c r="H147" s="83" t="b">
        <v>0</v>
      </c>
      <c r="I147" s="83" t="b">
        <v>0</v>
      </c>
      <c r="J147" s="83" t="b">
        <v>0</v>
      </c>
      <c r="K147" s="83" t="b">
        <v>0</v>
      </c>
      <c r="L147" s="83" t="b">
        <v>0</v>
      </c>
    </row>
    <row r="148" spans="1:12" ht="15">
      <c r="A148" s="84" t="s">
        <v>1466</v>
      </c>
      <c r="B148" s="83" t="s">
        <v>1454</v>
      </c>
      <c r="C148" s="83">
        <v>2</v>
      </c>
      <c r="D148" s="110">
        <v>0.0010812259090786612</v>
      </c>
      <c r="E148" s="110">
        <v>1.9632046468068653</v>
      </c>
      <c r="F148" s="83" t="s">
        <v>2059</v>
      </c>
      <c r="G148" s="83" t="b">
        <v>0</v>
      </c>
      <c r="H148" s="83" t="b">
        <v>0</v>
      </c>
      <c r="I148" s="83" t="b">
        <v>0</v>
      </c>
      <c r="J148" s="83" t="b">
        <v>1</v>
      </c>
      <c r="K148" s="83" t="b">
        <v>0</v>
      </c>
      <c r="L148" s="83" t="b">
        <v>0</v>
      </c>
    </row>
    <row r="149" spans="1:12" ht="15">
      <c r="A149" s="84" t="s">
        <v>1454</v>
      </c>
      <c r="B149" s="83" t="s">
        <v>1428</v>
      </c>
      <c r="C149" s="83">
        <v>2</v>
      </c>
      <c r="D149" s="110">
        <v>0.0010812259090786612</v>
      </c>
      <c r="E149" s="110">
        <v>0.8567493158925786</v>
      </c>
      <c r="F149" s="83" t="s">
        <v>2059</v>
      </c>
      <c r="G149" s="83" t="b">
        <v>1</v>
      </c>
      <c r="H149" s="83" t="b">
        <v>0</v>
      </c>
      <c r="I149" s="83" t="b">
        <v>0</v>
      </c>
      <c r="J149" s="83" t="b">
        <v>0</v>
      </c>
      <c r="K149" s="83" t="b">
        <v>0</v>
      </c>
      <c r="L149" s="83" t="b">
        <v>0</v>
      </c>
    </row>
    <row r="150" spans="1:12" ht="15">
      <c r="A150" s="84" t="s">
        <v>1866</v>
      </c>
      <c r="B150" s="83" t="s">
        <v>1512</v>
      </c>
      <c r="C150" s="83">
        <v>2</v>
      </c>
      <c r="D150" s="110">
        <v>0.0010812259090786612</v>
      </c>
      <c r="E150" s="110">
        <v>2.7255616300072774</v>
      </c>
      <c r="F150" s="83" t="s">
        <v>2059</v>
      </c>
      <c r="G150" s="83" t="b">
        <v>1</v>
      </c>
      <c r="H150" s="83" t="b">
        <v>0</v>
      </c>
      <c r="I150" s="83" t="b">
        <v>0</v>
      </c>
      <c r="J150" s="83" t="b">
        <v>0</v>
      </c>
      <c r="K150" s="83" t="b">
        <v>0</v>
      </c>
      <c r="L150" s="83" t="b">
        <v>0</v>
      </c>
    </row>
    <row r="151" spans="1:12" ht="15">
      <c r="A151" s="84" t="s">
        <v>1512</v>
      </c>
      <c r="B151" s="83" t="s">
        <v>1867</v>
      </c>
      <c r="C151" s="83">
        <v>2</v>
      </c>
      <c r="D151" s="110">
        <v>0.0010812259090786612</v>
      </c>
      <c r="E151" s="110">
        <v>2.7255616300072774</v>
      </c>
      <c r="F151" s="83" t="s">
        <v>2059</v>
      </c>
      <c r="G151" s="83" t="b">
        <v>0</v>
      </c>
      <c r="H151" s="83" t="b">
        <v>0</v>
      </c>
      <c r="I151" s="83" t="b">
        <v>0</v>
      </c>
      <c r="J151" s="83" t="b">
        <v>0</v>
      </c>
      <c r="K151" s="83" t="b">
        <v>0</v>
      </c>
      <c r="L151" s="83" t="b">
        <v>0</v>
      </c>
    </row>
    <row r="152" spans="1:12" ht="15">
      <c r="A152" s="84" t="s">
        <v>1867</v>
      </c>
      <c r="B152" s="83" t="s">
        <v>1431</v>
      </c>
      <c r="C152" s="83">
        <v>2</v>
      </c>
      <c r="D152" s="110">
        <v>0.0010812259090786612</v>
      </c>
      <c r="E152" s="110">
        <v>1.9272069935353466</v>
      </c>
      <c r="F152" s="83" t="s">
        <v>2059</v>
      </c>
      <c r="G152" s="83" t="b">
        <v>0</v>
      </c>
      <c r="H152" s="83" t="b">
        <v>0</v>
      </c>
      <c r="I152" s="83" t="b">
        <v>0</v>
      </c>
      <c r="J152" s="83" t="b">
        <v>0</v>
      </c>
      <c r="K152" s="83" t="b">
        <v>0</v>
      </c>
      <c r="L152" s="83" t="b">
        <v>0</v>
      </c>
    </row>
    <row r="153" spans="1:12" ht="15">
      <c r="A153" s="84" t="s">
        <v>1431</v>
      </c>
      <c r="B153" s="83" t="s">
        <v>1699</v>
      </c>
      <c r="C153" s="83">
        <v>2</v>
      </c>
      <c r="D153" s="110">
        <v>0.0010812259090786612</v>
      </c>
      <c r="E153" s="110">
        <v>1.7713191205679524</v>
      </c>
      <c r="F153" s="83" t="s">
        <v>2059</v>
      </c>
      <c r="G153" s="83" t="b">
        <v>0</v>
      </c>
      <c r="H153" s="83" t="b">
        <v>0</v>
      </c>
      <c r="I153" s="83" t="b">
        <v>0</v>
      </c>
      <c r="J153" s="83" t="b">
        <v>0</v>
      </c>
      <c r="K153" s="83" t="b">
        <v>0</v>
      </c>
      <c r="L153" s="83" t="b">
        <v>0</v>
      </c>
    </row>
    <row r="154" spans="1:12" ht="15">
      <c r="A154" s="84" t="s">
        <v>1699</v>
      </c>
      <c r="B154" s="83" t="s">
        <v>1868</v>
      </c>
      <c r="C154" s="83">
        <v>2</v>
      </c>
      <c r="D154" s="110">
        <v>0.0010812259090786612</v>
      </c>
      <c r="E154" s="110">
        <v>3.0935384153018717</v>
      </c>
      <c r="F154" s="83" t="s">
        <v>2059</v>
      </c>
      <c r="G154" s="83" t="b">
        <v>0</v>
      </c>
      <c r="H154" s="83" t="b">
        <v>0</v>
      </c>
      <c r="I154" s="83" t="b">
        <v>0</v>
      </c>
      <c r="J154" s="83" t="b">
        <v>0</v>
      </c>
      <c r="K154" s="83" t="b">
        <v>0</v>
      </c>
      <c r="L154" s="83" t="b">
        <v>0</v>
      </c>
    </row>
    <row r="155" spans="1:12" ht="15">
      <c r="A155" s="84" t="s">
        <v>1868</v>
      </c>
      <c r="B155" s="83" t="s">
        <v>1869</v>
      </c>
      <c r="C155" s="83">
        <v>2</v>
      </c>
      <c r="D155" s="110">
        <v>0.0010812259090786612</v>
      </c>
      <c r="E155" s="110">
        <v>3.269629674357553</v>
      </c>
      <c r="F155" s="83" t="s">
        <v>2059</v>
      </c>
      <c r="G155" s="83" t="b">
        <v>0</v>
      </c>
      <c r="H155" s="83" t="b">
        <v>0</v>
      </c>
      <c r="I155" s="83" t="b">
        <v>0</v>
      </c>
      <c r="J155" s="83" t="b">
        <v>0</v>
      </c>
      <c r="K155" s="83" t="b">
        <v>0</v>
      </c>
      <c r="L155" s="83" t="b">
        <v>0</v>
      </c>
    </row>
    <row r="156" spans="1:12" ht="15">
      <c r="A156" s="84" t="s">
        <v>1869</v>
      </c>
      <c r="B156" s="83" t="s">
        <v>1444</v>
      </c>
      <c r="C156" s="83">
        <v>2</v>
      </c>
      <c r="D156" s="110">
        <v>0.0010812259090786612</v>
      </c>
      <c r="E156" s="110">
        <v>2.315387164918228</v>
      </c>
      <c r="F156" s="83" t="s">
        <v>2059</v>
      </c>
      <c r="G156" s="83" t="b">
        <v>0</v>
      </c>
      <c r="H156" s="83" t="b">
        <v>0</v>
      </c>
      <c r="I156" s="83" t="b">
        <v>0</v>
      </c>
      <c r="J156" s="83" t="b">
        <v>0</v>
      </c>
      <c r="K156" s="83" t="b">
        <v>0</v>
      </c>
      <c r="L156" s="83" t="b">
        <v>0</v>
      </c>
    </row>
    <row r="157" spans="1:12" ht="15">
      <c r="A157" s="84" t="s">
        <v>1574</v>
      </c>
      <c r="B157" s="83" t="s">
        <v>1870</v>
      </c>
      <c r="C157" s="83">
        <v>2</v>
      </c>
      <c r="D157" s="110">
        <v>0.0010812259090786612</v>
      </c>
      <c r="E157" s="110">
        <v>2.871689665685515</v>
      </c>
      <c r="F157" s="83" t="s">
        <v>2059</v>
      </c>
      <c r="G157" s="83" t="b">
        <v>0</v>
      </c>
      <c r="H157" s="83" t="b">
        <v>0</v>
      </c>
      <c r="I157" s="83" t="b">
        <v>0</v>
      </c>
      <c r="J157" s="83" t="b">
        <v>0</v>
      </c>
      <c r="K157" s="83" t="b">
        <v>0</v>
      </c>
      <c r="L157" s="83" t="b">
        <v>0</v>
      </c>
    </row>
    <row r="158" spans="1:12" ht="15">
      <c r="A158" s="84" t="s">
        <v>1870</v>
      </c>
      <c r="B158" s="83" t="s">
        <v>1675</v>
      </c>
      <c r="C158" s="83">
        <v>2</v>
      </c>
      <c r="D158" s="110">
        <v>0.0010812259090786612</v>
      </c>
      <c r="E158" s="110">
        <v>3.0935384153018717</v>
      </c>
      <c r="F158" s="83" t="s">
        <v>2059</v>
      </c>
      <c r="G158" s="83" t="b">
        <v>0</v>
      </c>
      <c r="H158" s="83" t="b">
        <v>0</v>
      </c>
      <c r="I158" s="83" t="b">
        <v>0</v>
      </c>
      <c r="J158" s="83" t="b">
        <v>0</v>
      </c>
      <c r="K158" s="83" t="b">
        <v>0</v>
      </c>
      <c r="L158" s="83" t="b">
        <v>0</v>
      </c>
    </row>
    <row r="159" spans="1:12" ht="15">
      <c r="A159" s="84" t="s">
        <v>1675</v>
      </c>
      <c r="B159" s="83" t="s">
        <v>1693</v>
      </c>
      <c r="C159" s="83">
        <v>2</v>
      </c>
      <c r="D159" s="110">
        <v>0.0010812259090786612</v>
      </c>
      <c r="E159" s="110">
        <v>2.9174471562461903</v>
      </c>
      <c r="F159" s="83" t="s">
        <v>2059</v>
      </c>
      <c r="G159" s="83" t="b">
        <v>0</v>
      </c>
      <c r="H159" s="83" t="b">
        <v>0</v>
      </c>
      <c r="I159" s="83" t="b">
        <v>0</v>
      </c>
      <c r="J159" s="83" t="b">
        <v>0</v>
      </c>
      <c r="K159" s="83" t="b">
        <v>0</v>
      </c>
      <c r="L159" s="83" t="b">
        <v>0</v>
      </c>
    </row>
    <row r="160" spans="1:12" ht="15">
      <c r="A160" s="84" t="s">
        <v>1693</v>
      </c>
      <c r="B160" s="83" t="s">
        <v>1436</v>
      </c>
      <c r="C160" s="83">
        <v>2</v>
      </c>
      <c r="D160" s="110">
        <v>0.0010812259090786612</v>
      </c>
      <c r="E160" s="110">
        <v>1.9474103796236335</v>
      </c>
      <c r="F160" s="83" t="s">
        <v>2059</v>
      </c>
      <c r="G160" s="83" t="b">
        <v>0</v>
      </c>
      <c r="H160" s="83" t="b">
        <v>0</v>
      </c>
      <c r="I160" s="83" t="b">
        <v>0</v>
      </c>
      <c r="J160" s="83" t="b">
        <v>0</v>
      </c>
      <c r="K160" s="83" t="b">
        <v>0</v>
      </c>
      <c r="L160" s="83" t="b">
        <v>0</v>
      </c>
    </row>
    <row r="161" spans="1:12" ht="15">
      <c r="A161" s="84" t="s">
        <v>1700</v>
      </c>
      <c r="B161" s="83" t="s">
        <v>1447</v>
      </c>
      <c r="C161" s="83">
        <v>2</v>
      </c>
      <c r="D161" s="110">
        <v>0.0010812259090786612</v>
      </c>
      <c r="E161" s="110">
        <v>2.2184771519101716</v>
      </c>
      <c r="F161" s="83" t="s">
        <v>2059</v>
      </c>
      <c r="G161" s="83" t="b">
        <v>0</v>
      </c>
      <c r="H161" s="83" t="b">
        <v>0</v>
      </c>
      <c r="I161" s="83" t="b">
        <v>0</v>
      </c>
      <c r="J161" s="83" t="b">
        <v>0</v>
      </c>
      <c r="K161" s="83" t="b">
        <v>0</v>
      </c>
      <c r="L161" s="83" t="b">
        <v>0</v>
      </c>
    </row>
    <row r="162" spans="1:12" ht="15">
      <c r="A162" s="84" t="s">
        <v>1447</v>
      </c>
      <c r="B162" s="83" t="s">
        <v>1444</v>
      </c>
      <c r="C162" s="83">
        <v>2</v>
      </c>
      <c r="D162" s="110">
        <v>0.0010812259090786612</v>
      </c>
      <c r="E162" s="110">
        <v>1.4122971779262845</v>
      </c>
      <c r="F162" s="83" t="s">
        <v>2059</v>
      </c>
      <c r="G162" s="83" t="b">
        <v>0</v>
      </c>
      <c r="H162" s="83" t="b">
        <v>0</v>
      </c>
      <c r="I162" s="83" t="b">
        <v>0</v>
      </c>
      <c r="J162" s="83" t="b">
        <v>0</v>
      </c>
      <c r="K162" s="83" t="b">
        <v>0</v>
      </c>
      <c r="L162" s="83" t="b">
        <v>0</v>
      </c>
    </row>
    <row r="163" spans="1:12" ht="15">
      <c r="A163" s="84" t="s">
        <v>1453</v>
      </c>
      <c r="B163" s="83" t="s">
        <v>1871</v>
      </c>
      <c r="C163" s="83">
        <v>2</v>
      </c>
      <c r="D163" s="110">
        <v>0.0010812259090786612</v>
      </c>
      <c r="E163" s="110">
        <v>2.394568410965853</v>
      </c>
      <c r="F163" s="83" t="s">
        <v>2059</v>
      </c>
      <c r="G163" s="83" t="b">
        <v>0</v>
      </c>
      <c r="H163" s="83" t="b">
        <v>0</v>
      </c>
      <c r="I163" s="83" t="b">
        <v>0</v>
      </c>
      <c r="J163" s="83" t="b">
        <v>0</v>
      </c>
      <c r="K163" s="83" t="b">
        <v>0</v>
      </c>
      <c r="L163" s="83" t="b">
        <v>0</v>
      </c>
    </row>
    <row r="164" spans="1:12" ht="15">
      <c r="A164" s="84" t="s">
        <v>1871</v>
      </c>
      <c r="B164" s="83" t="s">
        <v>1872</v>
      </c>
      <c r="C164" s="83">
        <v>2</v>
      </c>
      <c r="D164" s="110">
        <v>0.0010812259090786612</v>
      </c>
      <c r="E164" s="110">
        <v>3.269629674357553</v>
      </c>
      <c r="F164" s="83" t="s">
        <v>2059</v>
      </c>
      <c r="G164" s="83" t="b">
        <v>0</v>
      </c>
      <c r="H164" s="83" t="b">
        <v>0</v>
      </c>
      <c r="I164" s="83" t="b">
        <v>0</v>
      </c>
      <c r="J164" s="83" t="b">
        <v>0</v>
      </c>
      <c r="K164" s="83" t="b">
        <v>0</v>
      </c>
      <c r="L164" s="83" t="b">
        <v>0</v>
      </c>
    </row>
    <row r="165" spans="1:12" ht="15">
      <c r="A165" s="84" t="s">
        <v>1872</v>
      </c>
      <c r="B165" s="83" t="s">
        <v>1873</v>
      </c>
      <c r="C165" s="83">
        <v>2</v>
      </c>
      <c r="D165" s="110">
        <v>0.0010812259090786612</v>
      </c>
      <c r="E165" s="110">
        <v>3.269629674357553</v>
      </c>
      <c r="F165" s="83" t="s">
        <v>2059</v>
      </c>
      <c r="G165" s="83" t="b">
        <v>0</v>
      </c>
      <c r="H165" s="83" t="b">
        <v>0</v>
      </c>
      <c r="I165" s="83" t="b">
        <v>0</v>
      </c>
      <c r="J165" s="83" t="b">
        <v>0</v>
      </c>
      <c r="K165" s="83" t="b">
        <v>0</v>
      </c>
      <c r="L165" s="83" t="b">
        <v>0</v>
      </c>
    </row>
    <row r="166" spans="1:12" ht="15">
      <c r="A166" s="84" t="s">
        <v>1873</v>
      </c>
      <c r="B166" s="83" t="s">
        <v>1874</v>
      </c>
      <c r="C166" s="83">
        <v>2</v>
      </c>
      <c r="D166" s="110">
        <v>0.0010812259090786612</v>
      </c>
      <c r="E166" s="110">
        <v>3.269629674357553</v>
      </c>
      <c r="F166" s="83" t="s">
        <v>2059</v>
      </c>
      <c r="G166" s="83" t="b">
        <v>0</v>
      </c>
      <c r="H166" s="83" t="b">
        <v>0</v>
      </c>
      <c r="I166" s="83" t="b">
        <v>0</v>
      </c>
      <c r="J166" s="83" t="b">
        <v>0</v>
      </c>
      <c r="K166" s="83" t="b">
        <v>0</v>
      </c>
      <c r="L166" s="83" t="b">
        <v>0</v>
      </c>
    </row>
    <row r="167" spans="1:12" ht="15">
      <c r="A167" s="84" t="s">
        <v>1874</v>
      </c>
      <c r="B167" s="83" t="s">
        <v>1514</v>
      </c>
      <c r="C167" s="83">
        <v>2</v>
      </c>
      <c r="D167" s="110">
        <v>0.0010812259090786612</v>
      </c>
      <c r="E167" s="110">
        <v>2.7255616300072774</v>
      </c>
      <c r="F167" s="83" t="s">
        <v>2059</v>
      </c>
      <c r="G167" s="83" t="b">
        <v>0</v>
      </c>
      <c r="H167" s="83" t="b">
        <v>0</v>
      </c>
      <c r="I167" s="83" t="b">
        <v>0</v>
      </c>
      <c r="J167" s="83" t="b">
        <v>0</v>
      </c>
      <c r="K167" s="83" t="b">
        <v>0</v>
      </c>
      <c r="L167" s="83" t="b">
        <v>0</v>
      </c>
    </row>
    <row r="168" spans="1:12" ht="15">
      <c r="A168" s="84" t="s">
        <v>1514</v>
      </c>
      <c r="B168" s="83" t="s">
        <v>1613</v>
      </c>
      <c r="C168" s="83">
        <v>2</v>
      </c>
      <c r="D168" s="110">
        <v>0.0010812259090786612</v>
      </c>
      <c r="E168" s="110">
        <v>2.424531634343296</v>
      </c>
      <c r="F168" s="83" t="s">
        <v>2059</v>
      </c>
      <c r="G168" s="83" t="b">
        <v>0</v>
      </c>
      <c r="H168" s="83" t="b">
        <v>0</v>
      </c>
      <c r="I168" s="83" t="b">
        <v>0</v>
      </c>
      <c r="J168" s="83" t="b">
        <v>0</v>
      </c>
      <c r="K168" s="83" t="b">
        <v>0</v>
      </c>
      <c r="L168" s="83" t="b">
        <v>0</v>
      </c>
    </row>
    <row r="169" spans="1:12" ht="15">
      <c r="A169" s="84" t="s">
        <v>1613</v>
      </c>
      <c r="B169" s="83" t="s">
        <v>1520</v>
      </c>
      <c r="C169" s="83">
        <v>2</v>
      </c>
      <c r="D169" s="110">
        <v>0.0010812259090786612</v>
      </c>
      <c r="E169" s="110">
        <v>2.491478423973909</v>
      </c>
      <c r="F169" s="83" t="s">
        <v>2059</v>
      </c>
      <c r="G169" s="83" t="b">
        <v>0</v>
      </c>
      <c r="H169" s="83" t="b">
        <v>0</v>
      </c>
      <c r="I169" s="83" t="b">
        <v>0</v>
      </c>
      <c r="J169" s="83" t="b">
        <v>0</v>
      </c>
      <c r="K169" s="83" t="b">
        <v>1</v>
      </c>
      <c r="L169" s="83" t="b">
        <v>0</v>
      </c>
    </row>
    <row r="170" spans="1:12" ht="15">
      <c r="A170" s="84" t="s">
        <v>1500</v>
      </c>
      <c r="B170" s="83" t="s">
        <v>1444</v>
      </c>
      <c r="C170" s="83">
        <v>2</v>
      </c>
      <c r="D170" s="110">
        <v>0.0010812259090786612</v>
      </c>
      <c r="E170" s="110">
        <v>1.7713191205679524</v>
      </c>
      <c r="F170" s="83" t="s">
        <v>2059</v>
      </c>
      <c r="G170" s="83" t="b">
        <v>0</v>
      </c>
      <c r="H170" s="83" t="b">
        <v>0</v>
      </c>
      <c r="I170" s="83" t="b">
        <v>0</v>
      </c>
      <c r="J170" s="83" t="b">
        <v>0</v>
      </c>
      <c r="K170" s="83" t="b">
        <v>0</v>
      </c>
      <c r="L170" s="83" t="b">
        <v>0</v>
      </c>
    </row>
    <row r="171" spans="1:12" ht="15">
      <c r="A171" s="84" t="s">
        <v>1485</v>
      </c>
      <c r="B171" s="83" t="s">
        <v>1433</v>
      </c>
      <c r="C171" s="83">
        <v>2</v>
      </c>
      <c r="D171" s="110">
        <v>0.0010812259090786612</v>
      </c>
      <c r="E171" s="110">
        <v>2.139295905862547</v>
      </c>
      <c r="F171" s="83" t="s">
        <v>2059</v>
      </c>
      <c r="G171" s="83" t="b">
        <v>0</v>
      </c>
      <c r="H171" s="83" t="b">
        <v>0</v>
      </c>
      <c r="I171" s="83" t="b">
        <v>0</v>
      </c>
      <c r="J171" s="83" t="b">
        <v>0</v>
      </c>
      <c r="K171" s="83" t="b">
        <v>0</v>
      </c>
      <c r="L171" s="83" t="b">
        <v>0</v>
      </c>
    </row>
    <row r="172" spans="1:12" ht="15">
      <c r="A172" s="84" t="s">
        <v>1430</v>
      </c>
      <c r="B172" s="83" t="s">
        <v>1428</v>
      </c>
      <c r="C172" s="83">
        <v>2</v>
      </c>
      <c r="D172" s="110">
        <v>0.0010812259090786612</v>
      </c>
      <c r="E172" s="110">
        <v>0.06280379832570313</v>
      </c>
      <c r="F172" s="83" t="s">
        <v>2059</v>
      </c>
      <c r="G172" s="83" t="b">
        <v>0</v>
      </c>
      <c r="H172" s="83" t="b">
        <v>0</v>
      </c>
      <c r="I172" s="83" t="b">
        <v>0</v>
      </c>
      <c r="J172" s="83" t="b">
        <v>0</v>
      </c>
      <c r="K172" s="83" t="b">
        <v>0</v>
      </c>
      <c r="L172" s="83" t="b">
        <v>0</v>
      </c>
    </row>
    <row r="173" spans="1:12" ht="15">
      <c r="A173" s="84" t="s">
        <v>1476</v>
      </c>
      <c r="B173" s="83" t="s">
        <v>1438</v>
      </c>
      <c r="C173" s="83">
        <v>2</v>
      </c>
      <c r="D173" s="110">
        <v>0.0010812259090786612</v>
      </c>
      <c r="E173" s="110">
        <v>1.616417160582209</v>
      </c>
      <c r="F173" s="83" t="s">
        <v>2059</v>
      </c>
      <c r="G173" s="83" t="b">
        <v>0</v>
      </c>
      <c r="H173" s="83" t="b">
        <v>0</v>
      </c>
      <c r="I173" s="83" t="b">
        <v>0</v>
      </c>
      <c r="J173" s="83" t="b">
        <v>1</v>
      </c>
      <c r="K173" s="83" t="b">
        <v>0</v>
      </c>
      <c r="L173" s="83" t="b">
        <v>0</v>
      </c>
    </row>
    <row r="174" spans="1:12" ht="15">
      <c r="A174" s="84" t="s">
        <v>1706</v>
      </c>
      <c r="B174" s="83" t="s">
        <v>1447</v>
      </c>
      <c r="C174" s="83">
        <v>2</v>
      </c>
      <c r="D174" s="110">
        <v>0.0010812259090786612</v>
      </c>
      <c r="E174" s="110">
        <v>2.2184771519101716</v>
      </c>
      <c r="F174" s="83" t="s">
        <v>2059</v>
      </c>
      <c r="G174" s="83" t="b">
        <v>0</v>
      </c>
      <c r="H174" s="83" t="b">
        <v>0</v>
      </c>
      <c r="I174" s="83" t="b">
        <v>0</v>
      </c>
      <c r="J174" s="83" t="b">
        <v>0</v>
      </c>
      <c r="K174" s="83" t="b">
        <v>0</v>
      </c>
      <c r="L174" s="83" t="b">
        <v>0</v>
      </c>
    </row>
    <row r="175" spans="1:12" ht="15">
      <c r="A175" s="84" t="s">
        <v>1523</v>
      </c>
      <c r="B175" s="83" t="s">
        <v>1428</v>
      </c>
      <c r="C175" s="83">
        <v>2</v>
      </c>
      <c r="D175" s="110">
        <v>0.0010812259090786612</v>
      </c>
      <c r="E175" s="110">
        <v>0.9658937853176467</v>
      </c>
      <c r="F175" s="83" t="s">
        <v>2059</v>
      </c>
      <c r="G175" s="83" t="b">
        <v>0</v>
      </c>
      <c r="H175" s="83" t="b">
        <v>0</v>
      </c>
      <c r="I175" s="83" t="b">
        <v>0</v>
      </c>
      <c r="J175" s="83" t="b">
        <v>0</v>
      </c>
      <c r="K175" s="83" t="b">
        <v>0</v>
      </c>
      <c r="L175" s="83" t="b">
        <v>0</v>
      </c>
    </row>
    <row r="176" spans="1:12" ht="15">
      <c r="A176" s="84" t="s">
        <v>1447</v>
      </c>
      <c r="B176" s="83" t="s">
        <v>1518</v>
      </c>
      <c r="C176" s="83">
        <v>2</v>
      </c>
      <c r="D176" s="110">
        <v>0.0010812259090786612</v>
      </c>
      <c r="E176" s="110">
        <v>1.8224716430153336</v>
      </c>
      <c r="F176" s="83" t="s">
        <v>2059</v>
      </c>
      <c r="G176" s="83" t="b">
        <v>0</v>
      </c>
      <c r="H176" s="83" t="b">
        <v>0</v>
      </c>
      <c r="I176" s="83" t="b">
        <v>0</v>
      </c>
      <c r="J176" s="83" t="b">
        <v>0</v>
      </c>
      <c r="K176" s="83" t="b">
        <v>0</v>
      </c>
      <c r="L176" s="83" t="b">
        <v>0</v>
      </c>
    </row>
    <row r="177" spans="1:12" ht="15">
      <c r="A177" s="84" t="s">
        <v>1495</v>
      </c>
      <c r="B177" s="83" t="s">
        <v>1458</v>
      </c>
      <c r="C177" s="83">
        <v>2</v>
      </c>
      <c r="D177" s="110">
        <v>0.0010812259090786612</v>
      </c>
      <c r="E177" s="110">
        <v>1.8546563263867348</v>
      </c>
      <c r="F177" s="83" t="s">
        <v>2059</v>
      </c>
      <c r="G177" s="83" t="b">
        <v>0</v>
      </c>
      <c r="H177" s="83" t="b">
        <v>0</v>
      </c>
      <c r="I177" s="83" t="b">
        <v>0</v>
      </c>
      <c r="J177" s="83" t="b">
        <v>1</v>
      </c>
      <c r="K177" s="83" t="b">
        <v>0</v>
      </c>
      <c r="L177" s="83" t="b">
        <v>0</v>
      </c>
    </row>
    <row r="178" spans="1:12" ht="15">
      <c r="A178" s="84" t="s">
        <v>1538</v>
      </c>
      <c r="B178" s="83" t="s">
        <v>1891</v>
      </c>
      <c r="C178" s="83">
        <v>2</v>
      </c>
      <c r="D178" s="110">
        <v>0.0012314030084370953</v>
      </c>
      <c r="E178" s="110">
        <v>2.871689665685515</v>
      </c>
      <c r="F178" s="83" t="s">
        <v>2059</v>
      </c>
      <c r="G178" s="83" t="b">
        <v>0</v>
      </c>
      <c r="H178" s="83" t="b">
        <v>0</v>
      </c>
      <c r="I178" s="83" t="b">
        <v>0</v>
      </c>
      <c r="J178" s="83" t="b">
        <v>0</v>
      </c>
      <c r="K178" s="83" t="b">
        <v>0</v>
      </c>
      <c r="L178" s="83" t="b">
        <v>0</v>
      </c>
    </row>
    <row r="179" spans="1:12" ht="15">
      <c r="A179" s="84" t="s">
        <v>1513</v>
      </c>
      <c r="B179" s="83" t="s">
        <v>1504</v>
      </c>
      <c r="C179" s="83">
        <v>2</v>
      </c>
      <c r="D179" s="110">
        <v>0.0010812259090786612</v>
      </c>
      <c r="E179" s="110">
        <v>2.123501638679315</v>
      </c>
      <c r="F179" s="83" t="s">
        <v>2059</v>
      </c>
      <c r="G179" s="83" t="b">
        <v>0</v>
      </c>
      <c r="H179" s="83" t="b">
        <v>0</v>
      </c>
      <c r="I179" s="83" t="b">
        <v>0</v>
      </c>
      <c r="J179" s="83" t="b">
        <v>0</v>
      </c>
      <c r="K179" s="83" t="b">
        <v>0</v>
      </c>
      <c r="L179" s="83" t="b">
        <v>0</v>
      </c>
    </row>
    <row r="180" spans="1:12" ht="15">
      <c r="A180" s="84" t="s">
        <v>1577</v>
      </c>
      <c r="B180" s="83" t="s">
        <v>1504</v>
      </c>
      <c r="C180" s="83">
        <v>2</v>
      </c>
      <c r="D180" s="110">
        <v>0.0010812259090786612</v>
      </c>
      <c r="E180" s="110">
        <v>2.3665396873656093</v>
      </c>
      <c r="F180" s="83" t="s">
        <v>2059</v>
      </c>
      <c r="G180" s="83" t="b">
        <v>0</v>
      </c>
      <c r="H180" s="83" t="b">
        <v>0</v>
      </c>
      <c r="I180" s="83" t="b">
        <v>0</v>
      </c>
      <c r="J180" s="83" t="b">
        <v>0</v>
      </c>
      <c r="K180" s="83" t="b">
        <v>0</v>
      </c>
      <c r="L180" s="83" t="b">
        <v>0</v>
      </c>
    </row>
    <row r="181" spans="1:12" ht="15">
      <c r="A181" s="84" t="s">
        <v>1459</v>
      </c>
      <c r="B181" s="83" t="s">
        <v>1440</v>
      </c>
      <c r="C181" s="83">
        <v>2</v>
      </c>
      <c r="D181" s="110">
        <v>0.0010812259090786612</v>
      </c>
      <c r="E181" s="110">
        <v>1.4245316343432959</v>
      </c>
      <c r="F181" s="83" t="s">
        <v>2059</v>
      </c>
      <c r="G181" s="83" t="b">
        <v>0</v>
      </c>
      <c r="H181" s="83" t="b">
        <v>0</v>
      </c>
      <c r="I181" s="83" t="b">
        <v>0</v>
      </c>
      <c r="J181" s="83" t="b">
        <v>1</v>
      </c>
      <c r="K181" s="83" t="b">
        <v>0</v>
      </c>
      <c r="L181" s="83" t="b">
        <v>0</v>
      </c>
    </row>
    <row r="182" spans="1:12" ht="15">
      <c r="A182" s="84" t="s">
        <v>1446</v>
      </c>
      <c r="B182" s="83" t="s">
        <v>1894</v>
      </c>
      <c r="C182" s="83">
        <v>2</v>
      </c>
      <c r="D182" s="110">
        <v>0.0012314030084370953</v>
      </c>
      <c r="E182" s="110">
        <v>2.315387164918228</v>
      </c>
      <c r="F182" s="83" t="s">
        <v>2059</v>
      </c>
      <c r="G182" s="83" t="b">
        <v>0</v>
      </c>
      <c r="H182" s="83" t="b">
        <v>0</v>
      </c>
      <c r="I182" s="83" t="b">
        <v>0</v>
      </c>
      <c r="J182" s="83" t="b">
        <v>0</v>
      </c>
      <c r="K182" s="83" t="b">
        <v>0</v>
      </c>
      <c r="L182" s="83" t="b">
        <v>0</v>
      </c>
    </row>
    <row r="183" spans="1:12" ht="15">
      <c r="A183" s="84" t="s">
        <v>1894</v>
      </c>
      <c r="B183" s="83" t="s">
        <v>1712</v>
      </c>
      <c r="C183" s="83">
        <v>2</v>
      </c>
      <c r="D183" s="110">
        <v>0.0012314030084370953</v>
      </c>
      <c r="E183" s="110">
        <v>3.0935384153018717</v>
      </c>
      <c r="F183" s="83" t="s">
        <v>2059</v>
      </c>
      <c r="G183" s="83" t="b">
        <v>0</v>
      </c>
      <c r="H183" s="83" t="b">
        <v>0</v>
      </c>
      <c r="I183" s="83" t="b">
        <v>0</v>
      </c>
      <c r="J183" s="83" t="b">
        <v>0</v>
      </c>
      <c r="K183" s="83" t="b">
        <v>0</v>
      </c>
      <c r="L183" s="83" t="b">
        <v>0</v>
      </c>
    </row>
    <row r="184" spans="1:12" ht="15">
      <c r="A184" s="84" t="s">
        <v>1712</v>
      </c>
      <c r="B184" s="83" t="s">
        <v>1895</v>
      </c>
      <c r="C184" s="83">
        <v>2</v>
      </c>
      <c r="D184" s="110">
        <v>0.0012314030084370953</v>
      </c>
      <c r="E184" s="110">
        <v>3.0935384153018717</v>
      </c>
      <c r="F184" s="83" t="s">
        <v>2059</v>
      </c>
      <c r="G184" s="83" t="b">
        <v>0</v>
      </c>
      <c r="H184" s="83" t="b">
        <v>0</v>
      </c>
      <c r="I184" s="83" t="b">
        <v>0</v>
      </c>
      <c r="J184" s="83" t="b">
        <v>0</v>
      </c>
      <c r="K184" s="83" t="b">
        <v>0</v>
      </c>
      <c r="L184" s="83" t="b">
        <v>0</v>
      </c>
    </row>
    <row r="185" spans="1:12" ht="15">
      <c r="A185" s="84" t="s">
        <v>1895</v>
      </c>
      <c r="B185" s="83" t="s">
        <v>1428</v>
      </c>
      <c r="C185" s="83">
        <v>2</v>
      </c>
      <c r="D185" s="110">
        <v>0.0012314030084370953</v>
      </c>
      <c r="E185" s="110">
        <v>1.5099618296679225</v>
      </c>
      <c r="F185" s="83" t="s">
        <v>2059</v>
      </c>
      <c r="G185" s="83" t="b">
        <v>0</v>
      </c>
      <c r="H185" s="83" t="b">
        <v>0</v>
      </c>
      <c r="I185" s="83" t="b">
        <v>0</v>
      </c>
      <c r="J185" s="83" t="b">
        <v>0</v>
      </c>
      <c r="K185" s="83" t="b">
        <v>0</v>
      </c>
      <c r="L185" s="83" t="b">
        <v>0</v>
      </c>
    </row>
    <row r="186" spans="1:12" ht="15">
      <c r="A186" s="84" t="s">
        <v>1498</v>
      </c>
      <c r="B186" s="83" t="s">
        <v>1473</v>
      </c>
      <c r="C186" s="83">
        <v>2</v>
      </c>
      <c r="D186" s="110">
        <v>0.0012314030084370953</v>
      </c>
      <c r="E186" s="110">
        <v>1.9272069935353466</v>
      </c>
      <c r="F186" s="83" t="s">
        <v>2059</v>
      </c>
      <c r="G186" s="83" t="b">
        <v>0</v>
      </c>
      <c r="H186" s="83" t="b">
        <v>0</v>
      </c>
      <c r="I186" s="83" t="b">
        <v>0</v>
      </c>
      <c r="J186" s="83" t="b">
        <v>0</v>
      </c>
      <c r="K186" s="83" t="b">
        <v>0</v>
      </c>
      <c r="L186" s="83" t="b">
        <v>0</v>
      </c>
    </row>
    <row r="187" spans="1:12" ht="15">
      <c r="A187" s="84" t="s">
        <v>1429</v>
      </c>
      <c r="B187" s="83" t="s">
        <v>1896</v>
      </c>
      <c r="C187" s="83">
        <v>2</v>
      </c>
      <c r="D187" s="110">
        <v>0.0012314030084370953</v>
      </c>
      <c r="E187" s="110">
        <v>1.8302969805272902</v>
      </c>
      <c r="F187" s="83" t="s">
        <v>2059</v>
      </c>
      <c r="G187" s="83" t="b">
        <v>0</v>
      </c>
      <c r="H187" s="83" t="b">
        <v>0</v>
      </c>
      <c r="I187" s="83" t="b">
        <v>0</v>
      </c>
      <c r="J187" s="83" t="b">
        <v>0</v>
      </c>
      <c r="K187" s="83" t="b">
        <v>0</v>
      </c>
      <c r="L187" s="83" t="b">
        <v>0</v>
      </c>
    </row>
    <row r="188" spans="1:12" ht="15">
      <c r="A188" s="84" t="s">
        <v>1896</v>
      </c>
      <c r="B188" s="83" t="s">
        <v>1525</v>
      </c>
      <c r="C188" s="83">
        <v>2</v>
      </c>
      <c r="D188" s="110">
        <v>0.0012314030084370953</v>
      </c>
      <c r="E188" s="110">
        <v>2.7255616300072774</v>
      </c>
      <c r="F188" s="83" t="s">
        <v>2059</v>
      </c>
      <c r="G188" s="83" t="b">
        <v>0</v>
      </c>
      <c r="H188" s="83" t="b">
        <v>0</v>
      </c>
      <c r="I188" s="83" t="b">
        <v>0</v>
      </c>
      <c r="J188" s="83" t="b">
        <v>0</v>
      </c>
      <c r="K188" s="83" t="b">
        <v>0</v>
      </c>
      <c r="L188" s="83" t="b">
        <v>0</v>
      </c>
    </row>
    <row r="189" spans="1:12" ht="15">
      <c r="A189" s="84" t="s">
        <v>1525</v>
      </c>
      <c r="B189" s="83" t="s">
        <v>1707</v>
      </c>
      <c r="C189" s="83">
        <v>2</v>
      </c>
      <c r="D189" s="110">
        <v>0.0012314030084370953</v>
      </c>
      <c r="E189" s="110">
        <v>2.549470370951596</v>
      </c>
      <c r="F189" s="83" t="s">
        <v>2059</v>
      </c>
      <c r="G189" s="83" t="b">
        <v>0</v>
      </c>
      <c r="H189" s="83" t="b">
        <v>0</v>
      </c>
      <c r="I189" s="83" t="b">
        <v>0</v>
      </c>
      <c r="J189" s="83" t="b">
        <v>0</v>
      </c>
      <c r="K189" s="83" t="b">
        <v>0</v>
      </c>
      <c r="L189" s="83" t="b">
        <v>0</v>
      </c>
    </row>
    <row r="190" spans="1:12" ht="15">
      <c r="A190" s="84" t="s">
        <v>1713</v>
      </c>
      <c r="B190" s="83" t="s">
        <v>1901</v>
      </c>
      <c r="C190" s="83">
        <v>2</v>
      </c>
      <c r="D190" s="110">
        <v>0.0012314030084370953</v>
      </c>
      <c r="E190" s="110">
        <v>3.0935384153018717</v>
      </c>
      <c r="F190" s="83" t="s">
        <v>2059</v>
      </c>
      <c r="G190" s="83" t="b">
        <v>0</v>
      </c>
      <c r="H190" s="83" t="b">
        <v>0</v>
      </c>
      <c r="I190" s="83" t="b">
        <v>0</v>
      </c>
      <c r="J190" s="83" t="b">
        <v>0</v>
      </c>
      <c r="K190" s="83" t="b">
        <v>0</v>
      </c>
      <c r="L190" s="83" t="b">
        <v>0</v>
      </c>
    </row>
    <row r="191" spans="1:12" ht="15">
      <c r="A191" s="84" t="s">
        <v>1530</v>
      </c>
      <c r="B191" s="83" t="s">
        <v>1466</v>
      </c>
      <c r="C191" s="83">
        <v>2</v>
      </c>
      <c r="D191" s="110">
        <v>0.0010812259090786612</v>
      </c>
      <c r="E191" s="110">
        <v>2.0521457301436468</v>
      </c>
      <c r="F191" s="83" t="s">
        <v>2059</v>
      </c>
      <c r="G191" s="83" t="b">
        <v>1</v>
      </c>
      <c r="H191" s="83" t="b">
        <v>0</v>
      </c>
      <c r="I191" s="83" t="b">
        <v>0</v>
      </c>
      <c r="J191" s="83" t="b">
        <v>0</v>
      </c>
      <c r="K191" s="83" t="b">
        <v>0</v>
      </c>
      <c r="L191" s="83" t="b">
        <v>0</v>
      </c>
    </row>
    <row r="192" spans="1:12" ht="15">
      <c r="A192" s="84" t="s">
        <v>1442</v>
      </c>
      <c r="B192" s="83" t="s">
        <v>1909</v>
      </c>
      <c r="C192" s="83">
        <v>2</v>
      </c>
      <c r="D192" s="110">
        <v>0.0010812259090786612</v>
      </c>
      <c r="E192" s="110">
        <v>2.3665396873656093</v>
      </c>
      <c r="F192" s="83" t="s">
        <v>2059</v>
      </c>
      <c r="G192" s="83" t="b">
        <v>0</v>
      </c>
      <c r="H192" s="83" t="b">
        <v>0</v>
      </c>
      <c r="I192" s="83" t="b">
        <v>0</v>
      </c>
      <c r="J192" s="83" t="b">
        <v>0</v>
      </c>
      <c r="K192" s="83" t="b">
        <v>0</v>
      </c>
      <c r="L192" s="83" t="b">
        <v>0</v>
      </c>
    </row>
    <row r="193" spans="1:12" ht="15">
      <c r="A193" s="84" t="s">
        <v>1629</v>
      </c>
      <c r="B193" s="83" t="s">
        <v>1719</v>
      </c>
      <c r="C193" s="83">
        <v>2</v>
      </c>
      <c r="D193" s="110">
        <v>0.0012314030084370953</v>
      </c>
      <c r="E193" s="110">
        <v>2.7925084196378904</v>
      </c>
      <c r="F193" s="83" t="s">
        <v>2059</v>
      </c>
      <c r="G193" s="83" t="b">
        <v>0</v>
      </c>
      <c r="H193" s="83" t="b">
        <v>0</v>
      </c>
      <c r="I193" s="83" t="b">
        <v>0</v>
      </c>
      <c r="J193" s="83" t="b">
        <v>0</v>
      </c>
      <c r="K193" s="83" t="b">
        <v>0</v>
      </c>
      <c r="L193" s="83" t="b">
        <v>0</v>
      </c>
    </row>
    <row r="194" spans="1:12" ht="15">
      <c r="A194" s="84" t="s">
        <v>1428</v>
      </c>
      <c r="B194" s="83" t="s">
        <v>1911</v>
      </c>
      <c r="C194" s="83">
        <v>2</v>
      </c>
      <c r="D194" s="110">
        <v>0.0012314030084370953</v>
      </c>
      <c r="E194" s="110">
        <v>1.5292669848633091</v>
      </c>
      <c r="F194" s="83" t="s">
        <v>2059</v>
      </c>
      <c r="G194" s="83" t="b">
        <v>0</v>
      </c>
      <c r="H194" s="83" t="b">
        <v>0</v>
      </c>
      <c r="I194" s="83" t="b">
        <v>0</v>
      </c>
      <c r="J194" s="83" t="b">
        <v>0</v>
      </c>
      <c r="K194" s="83" t="b">
        <v>0</v>
      </c>
      <c r="L194" s="83" t="b">
        <v>0</v>
      </c>
    </row>
    <row r="195" spans="1:12" ht="15">
      <c r="A195" s="84" t="s">
        <v>1911</v>
      </c>
      <c r="B195" s="83" t="s">
        <v>1912</v>
      </c>
      <c r="C195" s="83">
        <v>2</v>
      </c>
      <c r="D195" s="110">
        <v>0.0012314030084370953</v>
      </c>
      <c r="E195" s="110">
        <v>3.269629674357553</v>
      </c>
      <c r="F195" s="83" t="s">
        <v>2059</v>
      </c>
      <c r="G195" s="83" t="b">
        <v>0</v>
      </c>
      <c r="H195" s="83" t="b">
        <v>0</v>
      </c>
      <c r="I195" s="83" t="b">
        <v>0</v>
      </c>
      <c r="J195" s="83" t="b">
        <v>0</v>
      </c>
      <c r="K195" s="83" t="b">
        <v>0</v>
      </c>
      <c r="L195" s="83" t="b">
        <v>0</v>
      </c>
    </row>
    <row r="196" spans="1:12" ht="15">
      <c r="A196" s="84" t="s">
        <v>1914</v>
      </c>
      <c r="B196" s="83" t="s">
        <v>1486</v>
      </c>
      <c r="C196" s="83">
        <v>2</v>
      </c>
      <c r="D196" s="110">
        <v>0.0012314030084370953</v>
      </c>
      <c r="E196" s="110">
        <v>2.616417160582209</v>
      </c>
      <c r="F196" s="83" t="s">
        <v>2059</v>
      </c>
      <c r="G196" s="83" t="b">
        <v>0</v>
      </c>
      <c r="H196" s="83" t="b">
        <v>0</v>
      </c>
      <c r="I196" s="83" t="b">
        <v>0</v>
      </c>
      <c r="J196" s="83" t="b">
        <v>0</v>
      </c>
      <c r="K196" s="83" t="b">
        <v>0</v>
      </c>
      <c r="L196" s="83" t="b">
        <v>0</v>
      </c>
    </row>
    <row r="197" spans="1:12" ht="15">
      <c r="A197" s="84" t="s">
        <v>1915</v>
      </c>
      <c r="B197" s="83" t="s">
        <v>1916</v>
      </c>
      <c r="C197" s="83">
        <v>2</v>
      </c>
      <c r="D197" s="110">
        <v>0.0010812259090786612</v>
      </c>
      <c r="E197" s="110">
        <v>3.269629674357553</v>
      </c>
      <c r="F197" s="83" t="s">
        <v>2059</v>
      </c>
      <c r="G197" s="83" t="b">
        <v>0</v>
      </c>
      <c r="H197" s="83" t="b">
        <v>0</v>
      </c>
      <c r="I197" s="83" t="b">
        <v>0</v>
      </c>
      <c r="J197" s="83" t="b">
        <v>0</v>
      </c>
      <c r="K197" s="83" t="b">
        <v>0</v>
      </c>
      <c r="L197" s="83" t="b">
        <v>0</v>
      </c>
    </row>
    <row r="198" spans="1:12" ht="15">
      <c r="A198" s="84" t="s">
        <v>1428</v>
      </c>
      <c r="B198" s="83" t="s">
        <v>1456</v>
      </c>
      <c r="C198" s="83">
        <v>2</v>
      </c>
      <c r="D198" s="110">
        <v>0.0010812259090786612</v>
      </c>
      <c r="E198" s="110">
        <v>0.7889042953690651</v>
      </c>
      <c r="F198" s="83" t="s">
        <v>2059</v>
      </c>
      <c r="G198" s="83" t="b">
        <v>0</v>
      </c>
      <c r="H198" s="83" t="b">
        <v>0</v>
      </c>
      <c r="I198" s="83" t="b">
        <v>0</v>
      </c>
      <c r="J198" s="83" t="b">
        <v>1</v>
      </c>
      <c r="K198" s="83" t="b">
        <v>0</v>
      </c>
      <c r="L198" s="83" t="b">
        <v>0</v>
      </c>
    </row>
    <row r="199" spans="1:12" ht="15">
      <c r="A199" s="84" t="s">
        <v>1434</v>
      </c>
      <c r="B199" s="83" t="s">
        <v>1572</v>
      </c>
      <c r="C199" s="83">
        <v>2</v>
      </c>
      <c r="D199" s="110">
        <v>0.0012314030084370953</v>
      </c>
      <c r="E199" s="110">
        <v>1.7747796526774589</v>
      </c>
      <c r="F199" s="83" t="s">
        <v>2059</v>
      </c>
      <c r="G199" s="83" t="b">
        <v>0</v>
      </c>
      <c r="H199" s="83" t="b">
        <v>0</v>
      </c>
      <c r="I199" s="83" t="b">
        <v>0</v>
      </c>
      <c r="J199" s="83" t="b">
        <v>0</v>
      </c>
      <c r="K199" s="83" t="b">
        <v>0</v>
      </c>
      <c r="L199" s="83" t="b">
        <v>0</v>
      </c>
    </row>
    <row r="200" spans="1:12" ht="15">
      <c r="A200" s="84" t="s">
        <v>1625</v>
      </c>
      <c r="B200" s="83" t="s">
        <v>1601</v>
      </c>
      <c r="C200" s="83">
        <v>2</v>
      </c>
      <c r="D200" s="110">
        <v>0.0012314030084370953</v>
      </c>
      <c r="E200" s="110">
        <v>2.6675696830295905</v>
      </c>
      <c r="F200" s="83" t="s">
        <v>2059</v>
      </c>
      <c r="G200" s="83" t="b">
        <v>0</v>
      </c>
      <c r="H200" s="83" t="b">
        <v>0</v>
      </c>
      <c r="I200" s="83" t="b">
        <v>0</v>
      </c>
      <c r="J200" s="83" t="b">
        <v>0</v>
      </c>
      <c r="K200" s="83" t="b">
        <v>0</v>
      </c>
      <c r="L200" s="83" t="b">
        <v>0</v>
      </c>
    </row>
    <row r="201" spans="1:12" ht="15">
      <c r="A201" s="84" t="s">
        <v>1543</v>
      </c>
      <c r="B201" s="83" t="s">
        <v>1926</v>
      </c>
      <c r="C201" s="83">
        <v>2</v>
      </c>
      <c r="D201" s="110">
        <v>0.0010812259090786612</v>
      </c>
      <c r="E201" s="110">
        <v>2.7925084196378904</v>
      </c>
      <c r="F201" s="83" t="s">
        <v>2059</v>
      </c>
      <c r="G201" s="83" t="b">
        <v>0</v>
      </c>
      <c r="H201" s="83" t="b">
        <v>0</v>
      </c>
      <c r="I201" s="83" t="b">
        <v>0</v>
      </c>
      <c r="J201" s="83" t="b">
        <v>0</v>
      </c>
      <c r="K201" s="83" t="b">
        <v>0</v>
      </c>
      <c r="L201" s="83" t="b">
        <v>0</v>
      </c>
    </row>
    <row r="202" spans="1:12" ht="15">
      <c r="A202" s="84" t="s">
        <v>1926</v>
      </c>
      <c r="B202" s="83" t="s">
        <v>1927</v>
      </c>
      <c r="C202" s="83">
        <v>2</v>
      </c>
      <c r="D202" s="110">
        <v>0.0010812259090786612</v>
      </c>
      <c r="E202" s="110">
        <v>3.269629674357553</v>
      </c>
      <c r="F202" s="83" t="s">
        <v>2059</v>
      </c>
      <c r="G202" s="83" t="b">
        <v>0</v>
      </c>
      <c r="H202" s="83" t="b">
        <v>0</v>
      </c>
      <c r="I202" s="83" t="b">
        <v>0</v>
      </c>
      <c r="J202" s="83" t="b">
        <v>0</v>
      </c>
      <c r="K202" s="83" t="b">
        <v>0</v>
      </c>
      <c r="L202" s="83" t="b">
        <v>0</v>
      </c>
    </row>
    <row r="203" spans="1:12" ht="15">
      <c r="A203" s="84" t="s">
        <v>1443</v>
      </c>
      <c r="B203" s="83" t="s">
        <v>1929</v>
      </c>
      <c r="C203" s="83">
        <v>2</v>
      </c>
      <c r="D203" s="110">
        <v>0.0010812259090786612</v>
      </c>
      <c r="E203" s="110">
        <v>2.315387164918228</v>
      </c>
      <c r="F203" s="83" t="s">
        <v>2059</v>
      </c>
      <c r="G203" s="83" t="b">
        <v>0</v>
      </c>
      <c r="H203" s="83" t="b">
        <v>0</v>
      </c>
      <c r="I203" s="83" t="b">
        <v>0</v>
      </c>
      <c r="J203" s="83" t="b">
        <v>0</v>
      </c>
      <c r="K203" s="83" t="b">
        <v>0</v>
      </c>
      <c r="L203" s="83" t="b">
        <v>0</v>
      </c>
    </row>
    <row r="204" spans="1:12" ht="15">
      <c r="A204" s="84" t="s">
        <v>1930</v>
      </c>
      <c r="B204" s="83" t="s">
        <v>1931</v>
      </c>
      <c r="C204" s="83">
        <v>2</v>
      </c>
      <c r="D204" s="110">
        <v>0.0010812259090786612</v>
      </c>
      <c r="E204" s="110">
        <v>3.269629674357553</v>
      </c>
      <c r="F204" s="83" t="s">
        <v>2059</v>
      </c>
      <c r="G204" s="83" t="b">
        <v>0</v>
      </c>
      <c r="H204" s="83" t="b">
        <v>0</v>
      </c>
      <c r="I204" s="83" t="b">
        <v>0</v>
      </c>
      <c r="J204" s="83" t="b">
        <v>0</v>
      </c>
      <c r="K204" s="83" t="b">
        <v>0</v>
      </c>
      <c r="L204" s="83" t="b">
        <v>0</v>
      </c>
    </row>
    <row r="205" spans="1:12" ht="15">
      <c r="A205" s="84" t="s">
        <v>1931</v>
      </c>
      <c r="B205" s="83" t="s">
        <v>1932</v>
      </c>
      <c r="C205" s="83">
        <v>2</v>
      </c>
      <c r="D205" s="110">
        <v>0.0010812259090786612</v>
      </c>
      <c r="E205" s="110">
        <v>3.269629674357553</v>
      </c>
      <c r="F205" s="83" t="s">
        <v>2059</v>
      </c>
      <c r="G205" s="83" t="b">
        <v>0</v>
      </c>
      <c r="H205" s="83" t="b">
        <v>0</v>
      </c>
      <c r="I205" s="83" t="b">
        <v>0</v>
      </c>
      <c r="J205" s="83" t="b">
        <v>0</v>
      </c>
      <c r="K205" s="83" t="b">
        <v>0</v>
      </c>
      <c r="L205" s="83" t="b">
        <v>0</v>
      </c>
    </row>
    <row r="206" spans="1:12" ht="15">
      <c r="A206" s="84" t="s">
        <v>1933</v>
      </c>
      <c r="B206" s="83" t="s">
        <v>1934</v>
      </c>
      <c r="C206" s="83">
        <v>2</v>
      </c>
      <c r="D206" s="110">
        <v>0.0010812259090786612</v>
      </c>
      <c r="E206" s="110">
        <v>3.269629674357553</v>
      </c>
      <c r="F206" s="83" t="s">
        <v>2059</v>
      </c>
      <c r="G206" s="83" t="b">
        <v>0</v>
      </c>
      <c r="H206" s="83" t="b">
        <v>0</v>
      </c>
      <c r="I206" s="83" t="b">
        <v>0</v>
      </c>
      <c r="J206" s="83" t="b">
        <v>0</v>
      </c>
      <c r="K206" s="83" t="b">
        <v>0</v>
      </c>
      <c r="L206" s="83" t="b">
        <v>0</v>
      </c>
    </row>
    <row r="207" spans="1:12" ht="15">
      <c r="A207" s="84" t="s">
        <v>1935</v>
      </c>
      <c r="B207" s="83" t="s">
        <v>1936</v>
      </c>
      <c r="C207" s="83">
        <v>2</v>
      </c>
      <c r="D207" s="110">
        <v>0.0012314030084370953</v>
      </c>
      <c r="E207" s="110">
        <v>3.269629674357553</v>
      </c>
      <c r="F207" s="83" t="s">
        <v>2059</v>
      </c>
      <c r="G207" s="83" t="b">
        <v>0</v>
      </c>
      <c r="H207" s="83" t="b">
        <v>0</v>
      </c>
      <c r="I207" s="83" t="b">
        <v>0</v>
      </c>
      <c r="J207" s="83" t="b">
        <v>0</v>
      </c>
      <c r="K207" s="83" t="b">
        <v>0</v>
      </c>
      <c r="L207" s="83" t="b">
        <v>0</v>
      </c>
    </row>
    <row r="208" spans="1:12" ht="15">
      <c r="A208" s="84" t="s">
        <v>1936</v>
      </c>
      <c r="B208" s="83" t="s">
        <v>1581</v>
      </c>
      <c r="C208" s="83">
        <v>2</v>
      </c>
      <c r="D208" s="110">
        <v>0.0012314030084370953</v>
      </c>
      <c r="E208" s="110">
        <v>2.871689665685515</v>
      </c>
      <c r="F208" s="83" t="s">
        <v>2059</v>
      </c>
      <c r="G208" s="83" t="b">
        <v>0</v>
      </c>
      <c r="H208" s="83" t="b">
        <v>0</v>
      </c>
      <c r="I208" s="83" t="b">
        <v>0</v>
      </c>
      <c r="J208" s="83" t="b">
        <v>0</v>
      </c>
      <c r="K208" s="83" t="b">
        <v>0</v>
      </c>
      <c r="L208" s="83" t="b">
        <v>0</v>
      </c>
    </row>
    <row r="209" spans="1:12" ht="15">
      <c r="A209" s="84" t="s">
        <v>1488</v>
      </c>
      <c r="B209" s="83" t="s">
        <v>1634</v>
      </c>
      <c r="C209" s="83">
        <v>2</v>
      </c>
      <c r="D209" s="110">
        <v>0.0012314030084370953</v>
      </c>
      <c r="E209" s="110">
        <v>2.424531634343296</v>
      </c>
      <c r="F209" s="83" t="s">
        <v>2059</v>
      </c>
      <c r="G209" s="83" t="b">
        <v>0</v>
      </c>
      <c r="H209" s="83" t="b">
        <v>0</v>
      </c>
      <c r="I209" s="83" t="b">
        <v>0</v>
      </c>
      <c r="J209" s="83" t="b">
        <v>0</v>
      </c>
      <c r="K209" s="83" t="b">
        <v>0</v>
      </c>
      <c r="L209" s="83" t="b">
        <v>0</v>
      </c>
    </row>
    <row r="210" spans="1:12" ht="15">
      <c r="A210" s="84" t="s">
        <v>1634</v>
      </c>
      <c r="B210" s="83" t="s">
        <v>1937</v>
      </c>
      <c r="C210" s="83">
        <v>2</v>
      </c>
      <c r="D210" s="110">
        <v>0.0012314030084370953</v>
      </c>
      <c r="E210" s="110">
        <v>2.9685996786935718</v>
      </c>
      <c r="F210" s="83" t="s">
        <v>2059</v>
      </c>
      <c r="G210" s="83" t="b">
        <v>0</v>
      </c>
      <c r="H210" s="83" t="b">
        <v>0</v>
      </c>
      <c r="I210" s="83" t="b">
        <v>0</v>
      </c>
      <c r="J210" s="83" t="b">
        <v>0</v>
      </c>
      <c r="K210" s="83" t="b">
        <v>0</v>
      </c>
      <c r="L210" s="83" t="b">
        <v>0</v>
      </c>
    </row>
    <row r="211" spans="1:12" ht="15">
      <c r="A211" s="84" t="s">
        <v>1937</v>
      </c>
      <c r="B211" s="83" t="s">
        <v>1938</v>
      </c>
      <c r="C211" s="83">
        <v>2</v>
      </c>
      <c r="D211" s="110">
        <v>0.0012314030084370953</v>
      </c>
      <c r="E211" s="110">
        <v>3.269629674357553</v>
      </c>
      <c r="F211" s="83" t="s">
        <v>2059</v>
      </c>
      <c r="G211" s="83" t="b">
        <v>0</v>
      </c>
      <c r="H211" s="83" t="b">
        <v>0</v>
      </c>
      <c r="I211" s="83" t="b">
        <v>0</v>
      </c>
      <c r="J211" s="83" t="b">
        <v>0</v>
      </c>
      <c r="K211" s="83" t="b">
        <v>0</v>
      </c>
      <c r="L211" s="83" t="b">
        <v>0</v>
      </c>
    </row>
    <row r="212" spans="1:12" ht="15">
      <c r="A212" s="84" t="s">
        <v>1938</v>
      </c>
      <c r="B212" s="83" t="s">
        <v>1443</v>
      </c>
      <c r="C212" s="83">
        <v>2</v>
      </c>
      <c r="D212" s="110">
        <v>0.0012314030084370953</v>
      </c>
      <c r="E212" s="110">
        <v>2.315387164918228</v>
      </c>
      <c r="F212" s="83" t="s">
        <v>2059</v>
      </c>
      <c r="G212" s="83" t="b">
        <v>0</v>
      </c>
      <c r="H212" s="83" t="b">
        <v>0</v>
      </c>
      <c r="I212" s="83" t="b">
        <v>0</v>
      </c>
      <c r="J212" s="83" t="b">
        <v>0</v>
      </c>
      <c r="K212" s="83" t="b">
        <v>0</v>
      </c>
      <c r="L212" s="83" t="b">
        <v>0</v>
      </c>
    </row>
    <row r="213" spans="1:12" ht="15">
      <c r="A213" s="84" t="s">
        <v>1443</v>
      </c>
      <c r="B213" s="83" t="s">
        <v>1581</v>
      </c>
      <c r="C213" s="83">
        <v>2</v>
      </c>
      <c r="D213" s="110">
        <v>0.0012314030084370953</v>
      </c>
      <c r="E213" s="110">
        <v>1.9174471562461903</v>
      </c>
      <c r="F213" s="83" t="s">
        <v>2059</v>
      </c>
      <c r="G213" s="83" t="b">
        <v>0</v>
      </c>
      <c r="H213" s="83" t="b">
        <v>0</v>
      </c>
      <c r="I213" s="83" t="b">
        <v>0</v>
      </c>
      <c r="J213" s="83" t="b">
        <v>0</v>
      </c>
      <c r="K213" s="83" t="b">
        <v>0</v>
      </c>
      <c r="L213" s="83" t="b">
        <v>0</v>
      </c>
    </row>
    <row r="214" spans="1:12" ht="15">
      <c r="A214" s="84" t="s">
        <v>1443</v>
      </c>
      <c r="B214" s="83" t="s">
        <v>1725</v>
      </c>
      <c r="C214" s="83">
        <v>2</v>
      </c>
      <c r="D214" s="110">
        <v>0.0010812259090786612</v>
      </c>
      <c r="E214" s="110">
        <v>2.139295905862547</v>
      </c>
      <c r="F214" s="83" t="s">
        <v>2059</v>
      </c>
      <c r="G214" s="83" t="b">
        <v>0</v>
      </c>
      <c r="H214" s="83" t="b">
        <v>0</v>
      </c>
      <c r="I214" s="83" t="b">
        <v>0</v>
      </c>
      <c r="J214" s="83" t="b">
        <v>0</v>
      </c>
      <c r="K214" s="83" t="b">
        <v>0</v>
      </c>
      <c r="L214" s="83" t="b">
        <v>0</v>
      </c>
    </row>
    <row r="215" spans="1:12" ht="15">
      <c r="A215" s="84" t="s">
        <v>1450</v>
      </c>
      <c r="B215" s="83" t="s">
        <v>1939</v>
      </c>
      <c r="C215" s="83">
        <v>2</v>
      </c>
      <c r="D215" s="110">
        <v>0.0012314030084370953</v>
      </c>
      <c r="E215" s="110">
        <v>2.4567163177146973</v>
      </c>
      <c r="F215" s="83" t="s">
        <v>2059</v>
      </c>
      <c r="G215" s="83" t="b">
        <v>0</v>
      </c>
      <c r="H215" s="83" t="b">
        <v>0</v>
      </c>
      <c r="I215" s="83" t="b">
        <v>0</v>
      </c>
      <c r="J215" s="83" t="b">
        <v>0</v>
      </c>
      <c r="K215" s="83" t="b">
        <v>0</v>
      </c>
      <c r="L215" s="83" t="b">
        <v>0</v>
      </c>
    </row>
    <row r="216" spans="1:12" ht="15">
      <c r="A216" s="84" t="s">
        <v>1939</v>
      </c>
      <c r="B216" s="83" t="s">
        <v>1558</v>
      </c>
      <c r="C216" s="83">
        <v>2</v>
      </c>
      <c r="D216" s="110">
        <v>0.0012314030084370953</v>
      </c>
      <c r="E216" s="110">
        <v>2.871689665685515</v>
      </c>
      <c r="F216" s="83" t="s">
        <v>2059</v>
      </c>
      <c r="G216" s="83" t="b">
        <v>0</v>
      </c>
      <c r="H216" s="83" t="b">
        <v>0</v>
      </c>
      <c r="I216" s="83" t="b">
        <v>0</v>
      </c>
      <c r="J216" s="83" t="b">
        <v>0</v>
      </c>
      <c r="K216" s="83" t="b">
        <v>0</v>
      </c>
      <c r="L216" s="83" t="b">
        <v>0</v>
      </c>
    </row>
    <row r="217" spans="1:12" ht="15">
      <c r="A217" s="84" t="s">
        <v>1465</v>
      </c>
      <c r="B217" s="83" t="s">
        <v>1506</v>
      </c>
      <c r="C217" s="83">
        <v>2</v>
      </c>
      <c r="D217" s="110">
        <v>0.0010812259090786612</v>
      </c>
      <c r="E217" s="110">
        <v>2.065509691701628</v>
      </c>
      <c r="F217" s="83" t="s">
        <v>2059</v>
      </c>
      <c r="G217" s="83" t="b">
        <v>0</v>
      </c>
      <c r="H217" s="83" t="b">
        <v>0</v>
      </c>
      <c r="I217" s="83" t="b">
        <v>0</v>
      </c>
      <c r="J217" s="83" t="b">
        <v>0</v>
      </c>
      <c r="K217" s="83" t="b">
        <v>0</v>
      </c>
      <c r="L217" s="83" t="b">
        <v>0</v>
      </c>
    </row>
    <row r="218" spans="1:12" ht="15">
      <c r="A218" s="84" t="s">
        <v>1543</v>
      </c>
      <c r="B218" s="83" t="s">
        <v>1726</v>
      </c>
      <c r="C218" s="83">
        <v>2</v>
      </c>
      <c r="D218" s="110">
        <v>0.0010812259090786612</v>
      </c>
      <c r="E218" s="110">
        <v>2.616417160582209</v>
      </c>
      <c r="F218" s="83" t="s">
        <v>2059</v>
      </c>
      <c r="G218" s="83" t="b">
        <v>0</v>
      </c>
      <c r="H218" s="83" t="b">
        <v>0</v>
      </c>
      <c r="I218" s="83" t="b">
        <v>0</v>
      </c>
      <c r="J218" s="83" t="b">
        <v>0</v>
      </c>
      <c r="K218" s="83" t="b">
        <v>0</v>
      </c>
      <c r="L218" s="83" t="b">
        <v>0</v>
      </c>
    </row>
    <row r="219" spans="1:12" ht="15">
      <c r="A219" s="84" t="s">
        <v>1946</v>
      </c>
      <c r="B219" s="83" t="s">
        <v>1947</v>
      </c>
      <c r="C219" s="83">
        <v>2</v>
      </c>
      <c r="D219" s="110">
        <v>0.0010812259090786612</v>
      </c>
      <c r="E219" s="110">
        <v>3.269629674357553</v>
      </c>
      <c r="F219" s="83" t="s">
        <v>2059</v>
      </c>
      <c r="G219" s="83" t="b">
        <v>0</v>
      </c>
      <c r="H219" s="83" t="b">
        <v>0</v>
      </c>
      <c r="I219" s="83" t="b">
        <v>0</v>
      </c>
      <c r="J219" s="83" t="b">
        <v>0</v>
      </c>
      <c r="K219" s="83" t="b">
        <v>0</v>
      </c>
      <c r="L219" s="83" t="b">
        <v>0</v>
      </c>
    </row>
    <row r="220" spans="1:12" ht="15">
      <c r="A220" s="84" t="s">
        <v>1545</v>
      </c>
      <c r="B220" s="83" t="s">
        <v>1474</v>
      </c>
      <c r="C220" s="83">
        <v>2</v>
      </c>
      <c r="D220" s="110">
        <v>0.0010812259090786612</v>
      </c>
      <c r="E220" s="110">
        <v>2.1313269761912714</v>
      </c>
      <c r="F220" s="83" t="s">
        <v>2059</v>
      </c>
      <c r="G220" s="83" t="b">
        <v>0</v>
      </c>
      <c r="H220" s="83" t="b">
        <v>0</v>
      </c>
      <c r="I220" s="83" t="b">
        <v>0</v>
      </c>
      <c r="J220" s="83" t="b">
        <v>0</v>
      </c>
      <c r="K220" s="83" t="b">
        <v>0</v>
      </c>
      <c r="L220" s="83" t="b">
        <v>0</v>
      </c>
    </row>
    <row r="221" spans="1:12" ht="15">
      <c r="A221" s="84" t="s">
        <v>1437</v>
      </c>
      <c r="B221" s="83" t="s">
        <v>1957</v>
      </c>
      <c r="C221" s="83">
        <v>2</v>
      </c>
      <c r="D221" s="110">
        <v>0.0012314030084370953</v>
      </c>
      <c r="E221" s="110">
        <v>2.155686322050716</v>
      </c>
      <c r="F221" s="83" t="s">
        <v>2059</v>
      </c>
      <c r="G221" s="83" t="b">
        <v>0</v>
      </c>
      <c r="H221" s="83" t="b">
        <v>0</v>
      </c>
      <c r="I221" s="83" t="b">
        <v>0</v>
      </c>
      <c r="J221" s="83" t="b">
        <v>0</v>
      </c>
      <c r="K221" s="83" t="b">
        <v>0</v>
      </c>
      <c r="L221" s="83" t="b">
        <v>0</v>
      </c>
    </row>
    <row r="222" spans="1:12" ht="15">
      <c r="A222" s="84" t="s">
        <v>1957</v>
      </c>
      <c r="B222" s="83" t="s">
        <v>1428</v>
      </c>
      <c r="C222" s="83">
        <v>2</v>
      </c>
      <c r="D222" s="110">
        <v>0.0012314030084370953</v>
      </c>
      <c r="E222" s="110">
        <v>1.5099618296679225</v>
      </c>
      <c r="F222" s="83" t="s">
        <v>2059</v>
      </c>
      <c r="G222" s="83" t="b">
        <v>0</v>
      </c>
      <c r="H222" s="83" t="b">
        <v>0</v>
      </c>
      <c r="I222" s="83" t="b">
        <v>0</v>
      </c>
      <c r="J222" s="83" t="b">
        <v>0</v>
      </c>
      <c r="K222" s="83" t="b">
        <v>0</v>
      </c>
      <c r="L222" s="83" t="b">
        <v>0</v>
      </c>
    </row>
    <row r="223" spans="1:12" ht="15">
      <c r="A223" s="84" t="s">
        <v>1428</v>
      </c>
      <c r="B223" s="83" t="s">
        <v>1958</v>
      </c>
      <c r="C223" s="83">
        <v>2</v>
      </c>
      <c r="D223" s="110">
        <v>0.0012314030084370953</v>
      </c>
      <c r="E223" s="110">
        <v>1.5292669848633091</v>
      </c>
      <c r="F223" s="83" t="s">
        <v>2059</v>
      </c>
      <c r="G223" s="83" t="b">
        <v>0</v>
      </c>
      <c r="H223" s="83" t="b">
        <v>0</v>
      </c>
      <c r="I223" s="83" t="b">
        <v>0</v>
      </c>
      <c r="J223" s="83" t="b">
        <v>0</v>
      </c>
      <c r="K223" s="83" t="b">
        <v>0</v>
      </c>
      <c r="L223" s="83" t="b">
        <v>0</v>
      </c>
    </row>
    <row r="224" spans="1:12" ht="15">
      <c r="A224" s="84" t="s">
        <v>1958</v>
      </c>
      <c r="B224" s="83" t="s">
        <v>1959</v>
      </c>
      <c r="C224" s="83">
        <v>2</v>
      </c>
      <c r="D224" s="110">
        <v>0.0012314030084370953</v>
      </c>
      <c r="E224" s="110">
        <v>3.269629674357553</v>
      </c>
      <c r="F224" s="83" t="s">
        <v>2059</v>
      </c>
      <c r="G224" s="83" t="b">
        <v>0</v>
      </c>
      <c r="H224" s="83" t="b">
        <v>0</v>
      </c>
      <c r="I224" s="83" t="b">
        <v>0</v>
      </c>
      <c r="J224" s="83" t="b">
        <v>0</v>
      </c>
      <c r="K224" s="83" t="b">
        <v>0</v>
      </c>
      <c r="L224" s="83" t="b">
        <v>0</v>
      </c>
    </row>
    <row r="225" spans="1:12" ht="15">
      <c r="A225" s="84" t="s">
        <v>1959</v>
      </c>
      <c r="B225" s="83" t="s">
        <v>1960</v>
      </c>
      <c r="C225" s="83">
        <v>2</v>
      </c>
      <c r="D225" s="110">
        <v>0.0012314030084370953</v>
      </c>
      <c r="E225" s="110">
        <v>3.269629674357553</v>
      </c>
      <c r="F225" s="83" t="s">
        <v>2059</v>
      </c>
      <c r="G225" s="83" t="b">
        <v>0</v>
      </c>
      <c r="H225" s="83" t="b">
        <v>0</v>
      </c>
      <c r="I225" s="83" t="b">
        <v>0</v>
      </c>
      <c r="J225" s="83" t="b">
        <v>0</v>
      </c>
      <c r="K225" s="83" t="b">
        <v>0</v>
      </c>
      <c r="L225" s="83" t="b">
        <v>0</v>
      </c>
    </row>
    <row r="226" spans="1:12" ht="15">
      <c r="A226" s="84" t="s">
        <v>1734</v>
      </c>
      <c r="B226" s="83" t="s">
        <v>1546</v>
      </c>
      <c r="C226" s="83">
        <v>2</v>
      </c>
      <c r="D226" s="110">
        <v>0.0012314030084370953</v>
      </c>
      <c r="E226" s="110">
        <v>2.616417160582209</v>
      </c>
      <c r="F226" s="83" t="s">
        <v>2059</v>
      </c>
      <c r="G226" s="83" t="b">
        <v>0</v>
      </c>
      <c r="H226" s="83" t="b">
        <v>0</v>
      </c>
      <c r="I226" s="83" t="b">
        <v>0</v>
      </c>
      <c r="J226" s="83" t="b">
        <v>0</v>
      </c>
      <c r="K226" s="83" t="b">
        <v>0</v>
      </c>
      <c r="L226" s="83" t="b">
        <v>0</v>
      </c>
    </row>
    <row r="227" spans="1:12" ht="15">
      <c r="A227" s="84" t="s">
        <v>1428</v>
      </c>
      <c r="B227" s="83" t="s">
        <v>1734</v>
      </c>
      <c r="C227" s="83">
        <v>2</v>
      </c>
      <c r="D227" s="110">
        <v>0.0012314030084370953</v>
      </c>
      <c r="E227" s="110">
        <v>1.3531757258076278</v>
      </c>
      <c r="F227" s="83" t="s">
        <v>2059</v>
      </c>
      <c r="G227" s="83" t="b">
        <v>0</v>
      </c>
      <c r="H227" s="83" t="b">
        <v>0</v>
      </c>
      <c r="I227" s="83" t="b">
        <v>0</v>
      </c>
      <c r="J227" s="83" t="b">
        <v>0</v>
      </c>
      <c r="K227" s="83" t="b">
        <v>0</v>
      </c>
      <c r="L227" s="83" t="b">
        <v>0</v>
      </c>
    </row>
    <row r="228" spans="1:12" ht="15">
      <c r="A228" s="84" t="s">
        <v>1437</v>
      </c>
      <c r="B228" s="83" t="s">
        <v>1428</v>
      </c>
      <c r="C228" s="83">
        <v>2</v>
      </c>
      <c r="D228" s="110">
        <v>0.0010812259090786612</v>
      </c>
      <c r="E228" s="110">
        <v>0.3960184773610856</v>
      </c>
      <c r="F228" s="83" t="s">
        <v>2059</v>
      </c>
      <c r="G228" s="83" t="b">
        <v>0</v>
      </c>
      <c r="H228" s="83" t="b">
        <v>0</v>
      </c>
      <c r="I228" s="83" t="b">
        <v>0</v>
      </c>
      <c r="J228" s="83" t="b">
        <v>0</v>
      </c>
      <c r="K228" s="83" t="b">
        <v>0</v>
      </c>
      <c r="L228" s="83" t="b">
        <v>0</v>
      </c>
    </row>
    <row r="229" spans="1:12" ht="15">
      <c r="A229" s="84" t="s">
        <v>1481</v>
      </c>
      <c r="B229" s="83" t="s">
        <v>1506</v>
      </c>
      <c r="C229" s="83">
        <v>2</v>
      </c>
      <c r="D229" s="110">
        <v>0.0010812259090786612</v>
      </c>
      <c r="E229" s="110">
        <v>1.9685996786935718</v>
      </c>
      <c r="F229" s="83" t="s">
        <v>2059</v>
      </c>
      <c r="G229" s="83" t="b">
        <v>0</v>
      </c>
      <c r="H229" s="83" t="b">
        <v>0</v>
      </c>
      <c r="I229" s="83" t="b">
        <v>0</v>
      </c>
      <c r="J229" s="83" t="b">
        <v>0</v>
      </c>
      <c r="K229" s="83" t="b">
        <v>0</v>
      </c>
      <c r="L229" s="83" t="b">
        <v>0</v>
      </c>
    </row>
    <row r="230" spans="1:12" ht="15">
      <c r="A230" s="84" t="s">
        <v>1547</v>
      </c>
      <c r="B230" s="83" t="s">
        <v>1428</v>
      </c>
      <c r="C230" s="83">
        <v>2</v>
      </c>
      <c r="D230" s="110">
        <v>0.0010812259090786612</v>
      </c>
      <c r="E230" s="110">
        <v>1.0328405749482599</v>
      </c>
      <c r="F230" s="83" t="s">
        <v>2059</v>
      </c>
      <c r="G230" s="83" t="b">
        <v>0</v>
      </c>
      <c r="H230" s="83" t="b">
        <v>0</v>
      </c>
      <c r="I230" s="83" t="b">
        <v>0</v>
      </c>
      <c r="J230" s="83" t="b">
        <v>0</v>
      </c>
      <c r="K230" s="83" t="b">
        <v>0</v>
      </c>
      <c r="L230" s="83" t="b">
        <v>0</v>
      </c>
    </row>
    <row r="231" spans="1:12" ht="15">
      <c r="A231" s="84" t="s">
        <v>1639</v>
      </c>
      <c r="B231" s="83" t="s">
        <v>1969</v>
      </c>
      <c r="C231" s="83">
        <v>2</v>
      </c>
      <c r="D231" s="110">
        <v>0.0012314030084370953</v>
      </c>
      <c r="E231" s="110">
        <v>2.9685996786935718</v>
      </c>
      <c r="F231" s="83" t="s">
        <v>2059</v>
      </c>
      <c r="G231" s="83" t="b">
        <v>0</v>
      </c>
      <c r="H231" s="83" t="b">
        <v>0</v>
      </c>
      <c r="I231" s="83" t="b">
        <v>0</v>
      </c>
      <c r="J231" s="83" t="b">
        <v>0</v>
      </c>
      <c r="K231" s="83" t="b">
        <v>0</v>
      </c>
      <c r="L231" s="83" t="b">
        <v>0</v>
      </c>
    </row>
    <row r="232" spans="1:12" ht="15">
      <c r="A232" s="84" t="s">
        <v>1429</v>
      </c>
      <c r="B232" s="83" t="s">
        <v>1428</v>
      </c>
      <c r="C232" s="83">
        <v>2</v>
      </c>
      <c r="D232" s="110">
        <v>0.0010812259090786612</v>
      </c>
      <c r="E232" s="110">
        <v>0.07062913583765976</v>
      </c>
      <c r="F232" s="83" t="s">
        <v>2059</v>
      </c>
      <c r="G232" s="83" t="b">
        <v>0</v>
      </c>
      <c r="H232" s="83" t="b">
        <v>0</v>
      </c>
      <c r="I232" s="83" t="b">
        <v>0</v>
      </c>
      <c r="J232" s="83" t="b">
        <v>0</v>
      </c>
      <c r="K232" s="83" t="b">
        <v>0</v>
      </c>
      <c r="L232" s="83" t="b">
        <v>0</v>
      </c>
    </row>
    <row r="233" spans="1:12" ht="15">
      <c r="A233" s="84" t="s">
        <v>1428</v>
      </c>
      <c r="B233" s="83" t="s">
        <v>1548</v>
      </c>
      <c r="C233" s="83">
        <v>2</v>
      </c>
      <c r="D233" s="110">
        <v>0.0010812259090786612</v>
      </c>
      <c r="E233" s="110">
        <v>1.0521457301436465</v>
      </c>
      <c r="F233" s="83" t="s">
        <v>2059</v>
      </c>
      <c r="G233" s="83" t="b">
        <v>0</v>
      </c>
      <c r="H233" s="83" t="b">
        <v>0</v>
      </c>
      <c r="I233" s="83" t="b">
        <v>0</v>
      </c>
      <c r="J233" s="83" t="b">
        <v>0</v>
      </c>
      <c r="K233" s="83" t="b">
        <v>0</v>
      </c>
      <c r="L233" s="83" t="b">
        <v>0</v>
      </c>
    </row>
    <row r="234" spans="1:12" ht="15">
      <c r="A234" s="84" t="s">
        <v>1505</v>
      </c>
      <c r="B234" s="83" t="s">
        <v>1428</v>
      </c>
      <c r="C234" s="83">
        <v>2</v>
      </c>
      <c r="D234" s="110">
        <v>0.0010812259090786612</v>
      </c>
      <c r="E234" s="110">
        <v>0.9658937853176467</v>
      </c>
      <c r="F234" s="83" t="s">
        <v>2059</v>
      </c>
      <c r="G234" s="83" t="b">
        <v>0</v>
      </c>
      <c r="H234" s="83" t="b">
        <v>0</v>
      </c>
      <c r="I234" s="83" t="b">
        <v>0</v>
      </c>
      <c r="J234" s="83" t="b">
        <v>0</v>
      </c>
      <c r="K234" s="83" t="b">
        <v>0</v>
      </c>
      <c r="L234" s="83" t="b">
        <v>0</v>
      </c>
    </row>
    <row r="235" spans="1:12" ht="15">
      <c r="A235" s="84" t="s">
        <v>1428</v>
      </c>
      <c r="B235" s="83" t="s">
        <v>1428</v>
      </c>
      <c r="C235" s="83">
        <v>2</v>
      </c>
      <c r="D235" s="110">
        <v>0.0010812259090786612</v>
      </c>
      <c r="E235" s="110">
        <v>-0.23040085982632144</v>
      </c>
      <c r="F235" s="83" t="s">
        <v>2059</v>
      </c>
      <c r="G235" s="83" t="b">
        <v>0</v>
      </c>
      <c r="H235" s="83" t="b">
        <v>0</v>
      </c>
      <c r="I235" s="83" t="b">
        <v>0</v>
      </c>
      <c r="J235" s="83" t="b">
        <v>0</v>
      </c>
      <c r="K235" s="83" t="b">
        <v>0</v>
      </c>
      <c r="L235" s="83" t="b">
        <v>0</v>
      </c>
    </row>
    <row r="236" spans="1:12" ht="15">
      <c r="A236" s="84" t="s">
        <v>1972</v>
      </c>
      <c r="B236" s="83" t="s">
        <v>1973</v>
      </c>
      <c r="C236" s="83">
        <v>2</v>
      </c>
      <c r="D236" s="110">
        <v>0.0012314030084370953</v>
      </c>
      <c r="E236" s="110">
        <v>3.269629674357553</v>
      </c>
      <c r="F236" s="83" t="s">
        <v>2059</v>
      </c>
      <c r="G236" s="83" t="b">
        <v>0</v>
      </c>
      <c r="H236" s="83" t="b">
        <v>0</v>
      </c>
      <c r="I236" s="83" t="b">
        <v>0</v>
      </c>
      <c r="J236" s="83" t="b">
        <v>0</v>
      </c>
      <c r="K236" s="83" t="b">
        <v>0</v>
      </c>
      <c r="L236" s="83" t="b">
        <v>0</v>
      </c>
    </row>
    <row r="237" spans="1:12" ht="15">
      <c r="A237" s="84" t="s">
        <v>1973</v>
      </c>
      <c r="B237" s="83" t="s">
        <v>1974</v>
      </c>
      <c r="C237" s="83">
        <v>2</v>
      </c>
      <c r="D237" s="110">
        <v>0.0012314030084370953</v>
      </c>
      <c r="E237" s="110">
        <v>3.269629674357553</v>
      </c>
      <c r="F237" s="83" t="s">
        <v>2059</v>
      </c>
      <c r="G237" s="83" t="b">
        <v>0</v>
      </c>
      <c r="H237" s="83" t="b">
        <v>0</v>
      </c>
      <c r="I237" s="83" t="b">
        <v>0</v>
      </c>
      <c r="J237" s="83" t="b">
        <v>0</v>
      </c>
      <c r="K237" s="83" t="b">
        <v>0</v>
      </c>
      <c r="L237" s="83" t="b">
        <v>0</v>
      </c>
    </row>
    <row r="238" spans="1:12" ht="15">
      <c r="A238" s="84" t="s">
        <v>1974</v>
      </c>
      <c r="B238" s="83" t="s">
        <v>1636</v>
      </c>
      <c r="C238" s="83">
        <v>2</v>
      </c>
      <c r="D238" s="110">
        <v>0.0012314030084370953</v>
      </c>
      <c r="E238" s="110">
        <v>2.9685996786935718</v>
      </c>
      <c r="F238" s="83" t="s">
        <v>2059</v>
      </c>
      <c r="G238" s="83" t="b">
        <v>0</v>
      </c>
      <c r="H238" s="83" t="b">
        <v>0</v>
      </c>
      <c r="I238" s="83" t="b">
        <v>0</v>
      </c>
      <c r="J238" s="83" t="b">
        <v>0</v>
      </c>
      <c r="K238" s="83" t="b">
        <v>0</v>
      </c>
      <c r="L238" s="83" t="b">
        <v>0</v>
      </c>
    </row>
    <row r="239" spans="1:12" ht="15">
      <c r="A239" s="84" t="s">
        <v>1428</v>
      </c>
      <c r="B239" s="83" t="s">
        <v>1623</v>
      </c>
      <c r="C239" s="83">
        <v>2</v>
      </c>
      <c r="D239" s="110">
        <v>0.0010812259090786612</v>
      </c>
      <c r="E239" s="110">
        <v>1.2282369891993279</v>
      </c>
      <c r="F239" s="83" t="s">
        <v>2059</v>
      </c>
      <c r="G239" s="83" t="b">
        <v>0</v>
      </c>
      <c r="H239" s="83" t="b">
        <v>0</v>
      </c>
      <c r="I239" s="83" t="b">
        <v>0</v>
      </c>
      <c r="J239" s="83" t="b">
        <v>0</v>
      </c>
      <c r="K239" s="83" t="b">
        <v>0</v>
      </c>
      <c r="L239" s="83" t="b">
        <v>0</v>
      </c>
    </row>
    <row r="240" spans="1:12" ht="15">
      <c r="A240" s="84" t="s">
        <v>1985</v>
      </c>
      <c r="B240" s="83" t="s">
        <v>1741</v>
      </c>
      <c r="C240" s="83">
        <v>2</v>
      </c>
      <c r="D240" s="110">
        <v>0.0010812259090786612</v>
      </c>
      <c r="E240" s="110">
        <v>3.0935384153018717</v>
      </c>
      <c r="F240" s="83" t="s">
        <v>2059</v>
      </c>
      <c r="G240" s="83" t="b">
        <v>0</v>
      </c>
      <c r="H240" s="83" t="b">
        <v>0</v>
      </c>
      <c r="I240" s="83" t="b">
        <v>0</v>
      </c>
      <c r="J240" s="83" t="b">
        <v>0</v>
      </c>
      <c r="K240" s="83" t="b">
        <v>0</v>
      </c>
      <c r="L240" s="83" t="b">
        <v>0</v>
      </c>
    </row>
    <row r="241" spans="1:12" ht="15">
      <c r="A241" s="84" t="s">
        <v>1743</v>
      </c>
      <c r="B241" s="83" t="s">
        <v>1990</v>
      </c>
      <c r="C241" s="83">
        <v>2</v>
      </c>
      <c r="D241" s="110">
        <v>0.0010812259090786612</v>
      </c>
      <c r="E241" s="110">
        <v>3.0935384153018717</v>
      </c>
      <c r="F241" s="83" t="s">
        <v>2059</v>
      </c>
      <c r="G241" s="83" t="b">
        <v>0</v>
      </c>
      <c r="H241" s="83" t="b">
        <v>0</v>
      </c>
      <c r="I241" s="83" t="b">
        <v>0</v>
      </c>
      <c r="J241" s="83" t="b">
        <v>0</v>
      </c>
      <c r="K241" s="83" t="b">
        <v>0</v>
      </c>
      <c r="L241" s="83" t="b">
        <v>0</v>
      </c>
    </row>
    <row r="242" spans="1:12" ht="15">
      <c r="A242" s="84" t="s">
        <v>1991</v>
      </c>
      <c r="B242" s="83" t="s">
        <v>1550</v>
      </c>
      <c r="C242" s="83">
        <v>2</v>
      </c>
      <c r="D242" s="110">
        <v>0.0010812259090786612</v>
      </c>
      <c r="E242" s="110">
        <v>2.7925084196378904</v>
      </c>
      <c r="F242" s="83" t="s">
        <v>2059</v>
      </c>
      <c r="G242" s="83" t="b">
        <v>0</v>
      </c>
      <c r="H242" s="83" t="b">
        <v>0</v>
      </c>
      <c r="I242" s="83" t="b">
        <v>0</v>
      </c>
      <c r="J242" s="83" t="b">
        <v>0</v>
      </c>
      <c r="K242" s="83" t="b">
        <v>0</v>
      </c>
      <c r="L242" s="83" t="b">
        <v>0</v>
      </c>
    </row>
    <row r="243" spans="1:12" ht="15">
      <c r="A243" s="84" t="s">
        <v>1550</v>
      </c>
      <c r="B243" s="83" t="s">
        <v>1992</v>
      </c>
      <c r="C243" s="83">
        <v>2</v>
      </c>
      <c r="D243" s="110">
        <v>0.0010812259090786612</v>
      </c>
      <c r="E243" s="110">
        <v>2.7925084196378904</v>
      </c>
      <c r="F243" s="83" t="s">
        <v>2059</v>
      </c>
      <c r="G243" s="83" t="b">
        <v>0</v>
      </c>
      <c r="H243" s="83" t="b">
        <v>0</v>
      </c>
      <c r="I243" s="83" t="b">
        <v>0</v>
      </c>
      <c r="J243" s="83" t="b">
        <v>0</v>
      </c>
      <c r="K243" s="83" t="b">
        <v>0</v>
      </c>
      <c r="L243" s="83" t="b">
        <v>0</v>
      </c>
    </row>
    <row r="244" spans="1:12" ht="15">
      <c r="A244" s="84" t="s">
        <v>1996</v>
      </c>
      <c r="B244" s="83" t="s">
        <v>1746</v>
      </c>
      <c r="C244" s="83">
        <v>2</v>
      </c>
      <c r="D244" s="110">
        <v>0.0010812259090786612</v>
      </c>
      <c r="E244" s="110">
        <v>3.0935384153018717</v>
      </c>
      <c r="F244" s="83" t="s">
        <v>2059</v>
      </c>
      <c r="G244" s="83" t="b">
        <v>0</v>
      </c>
      <c r="H244" s="83" t="b">
        <v>0</v>
      </c>
      <c r="I244" s="83" t="b">
        <v>0</v>
      </c>
      <c r="J244" s="83" t="b">
        <v>0</v>
      </c>
      <c r="K244" s="83" t="b">
        <v>0</v>
      </c>
      <c r="L244" s="83" t="b">
        <v>0</v>
      </c>
    </row>
    <row r="245" spans="1:12" ht="15">
      <c r="A245" s="84" t="s">
        <v>1748</v>
      </c>
      <c r="B245" s="83" t="s">
        <v>1999</v>
      </c>
      <c r="C245" s="83">
        <v>2</v>
      </c>
      <c r="D245" s="110">
        <v>0.0012314030084370953</v>
      </c>
      <c r="E245" s="110">
        <v>3.0935384153018717</v>
      </c>
      <c r="F245" s="83" t="s">
        <v>2059</v>
      </c>
      <c r="G245" s="83" t="b">
        <v>0</v>
      </c>
      <c r="H245" s="83" t="b">
        <v>0</v>
      </c>
      <c r="I245" s="83" t="b">
        <v>0</v>
      </c>
      <c r="J245" s="83" t="b">
        <v>0</v>
      </c>
      <c r="K245" s="83" t="b">
        <v>0</v>
      </c>
      <c r="L245" s="83" t="b">
        <v>0</v>
      </c>
    </row>
    <row r="246" spans="1:12" ht="15">
      <c r="A246" s="84" t="s">
        <v>1526</v>
      </c>
      <c r="B246" s="83" t="s">
        <v>2000</v>
      </c>
      <c r="C246" s="83">
        <v>2</v>
      </c>
      <c r="D246" s="110">
        <v>0.0010812259090786612</v>
      </c>
      <c r="E246" s="110">
        <v>2.7255616300072774</v>
      </c>
      <c r="F246" s="83" t="s">
        <v>2059</v>
      </c>
      <c r="G246" s="83" t="b">
        <v>0</v>
      </c>
      <c r="H246" s="83" t="b">
        <v>0</v>
      </c>
      <c r="I246" s="83" t="b">
        <v>0</v>
      </c>
      <c r="J246" s="83" t="b">
        <v>0</v>
      </c>
      <c r="K246" s="83" t="b">
        <v>0</v>
      </c>
      <c r="L246" s="83" t="b">
        <v>0</v>
      </c>
    </row>
    <row r="247" spans="1:12" ht="15">
      <c r="A247" s="84" t="s">
        <v>1751</v>
      </c>
      <c r="B247" s="83" t="s">
        <v>1750</v>
      </c>
      <c r="C247" s="83">
        <v>2</v>
      </c>
      <c r="D247" s="110">
        <v>0.0012314030084370953</v>
      </c>
      <c r="E247" s="110">
        <v>2.9174471562461903</v>
      </c>
      <c r="F247" s="83" t="s">
        <v>2059</v>
      </c>
      <c r="G247" s="83" t="b">
        <v>0</v>
      </c>
      <c r="H247" s="83" t="b">
        <v>0</v>
      </c>
      <c r="I247" s="83" t="b">
        <v>0</v>
      </c>
      <c r="J247" s="83" t="b">
        <v>0</v>
      </c>
      <c r="K247" s="83" t="b">
        <v>0</v>
      </c>
      <c r="L247" s="83" t="b">
        <v>0</v>
      </c>
    </row>
    <row r="248" spans="1:12" ht="15">
      <c r="A248" s="84" t="s">
        <v>2004</v>
      </c>
      <c r="B248" s="83" t="s">
        <v>1583</v>
      </c>
      <c r="C248" s="83">
        <v>2</v>
      </c>
      <c r="D248" s="110">
        <v>0.0010812259090786612</v>
      </c>
      <c r="E248" s="110">
        <v>2.871689665685515</v>
      </c>
      <c r="F248" s="83" t="s">
        <v>2059</v>
      </c>
      <c r="G248" s="83" t="b">
        <v>0</v>
      </c>
      <c r="H248" s="83" t="b">
        <v>0</v>
      </c>
      <c r="I248" s="83" t="b">
        <v>0</v>
      </c>
      <c r="J248" s="83" t="b">
        <v>0</v>
      </c>
      <c r="K248" s="83" t="b">
        <v>0</v>
      </c>
      <c r="L248" s="83" t="b">
        <v>0</v>
      </c>
    </row>
    <row r="249" spans="1:12" ht="15">
      <c r="A249" s="84" t="s">
        <v>1583</v>
      </c>
      <c r="B249" s="83" t="s">
        <v>1747</v>
      </c>
      <c r="C249" s="83">
        <v>2</v>
      </c>
      <c r="D249" s="110">
        <v>0.0010812259090786612</v>
      </c>
      <c r="E249" s="110">
        <v>2.6955984066298337</v>
      </c>
      <c r="F249" s="83" t="s">
        <v>2059</v>
      </c>
      <c r="G249" s="83" t="b">
        <v>0</v>
      </c>
      <c r="H249" s="83" t="b">
        <v>0</v>
      </c>
      <c r="I249" s="83" t="b">
        <v>0</v>
      </c>
      <c r="J249" s="83" t="b">
        <v>0</v>
      </c>
      <c r="K249" s="83" t="b">
        <v>0</v>
      </c>
      <c r="L249" s="83" t="b">
        <v>0</v>
      </c>
    </row>
    <row r="250" spans="1:12" ht="15">
      <c r="A250" s="84" t="s">
        <v>1747</v>
      </c>
      <c r="B250" s="83" t="s">
        <v>1641</v>
      </c>
      <c r="C250" s="83">
        <v>2</v>
      </c>
      <c r="D250" s="110">
        <v>0.0010812259090786612</v>
      </c>
      <c r="E250" s="110">
        <v>2.7925084196378904</v>
      </c>
      <c r="F250" s="83" t="s">
        <v>2059</v>
      </c>
      <c r="G250" s="83" t="b">
        <v>0</v>
      </c>
      <c r="H250" s="83" t="b">
        <v>0</v>
      </c>
      <c r="I250" s="83" t="b">
        <v>0</v>
      </c>
      <c r="J250" s="83" t="b">
        <v>0</v>
      </c>
      <c r="K250" s="83" t="b">
        <v>0</v>
      </c>
      <c r="L250" s="83" t="b">
        <v>0</v>
      </c>
    </row>
    <row r="251" spans="1:12" ht="15">
      <c r="A251" s="84" t="s">
        <v>1629</v>
      </c>
      <c r="B251" s="83" t="s">
        <v>2005</v>
      </c>
      <c r="C251" s="83">
        <v>2</v>
      </c>
      <c r="D251" s="110">
        <v>0.0012314030084370953</v>
      </c>
      <c r="E251" s="110">
        <v>2.9685996786935718</v>
      </c>
      <c r="F251" s="83" t="s">
        <v>2059</v>
      </c>
      <c r="G251" s="83" t="b">
        <v>0</v>
      </c>
      <c r="H251" s="83" t="b">
        <v>0</v>
      </c>
      <c r="I251" s="83" t="b">
        <v>0</v>
      </c>
      <c r="J251" s="83" t="b">
        <v>0</v>
      </c>
      <c r="K251" s="83" t="b">
        <v>0</v>
      </c>
      <c r="L251" s="83" t="b">
        <v>0</v>
      </c>
    </row>
    <row r="252" spans="1:12" ht="15">
      <c r="A252" s="84" t="s">
        <v>2005</v>
      </c>
      <c r="B252" s="83" t="s">
        <v>2006</v>
      </c>
      <c r="C252" s="83">
        <v>2</v>
      </c>
      <c r="D252" s="110">
        <v>0.0012314030084370953</v>
      </c>
      <c r="E252" s="110">
        <v>3.269629674357553</v>
      </c>
      <c r="F252" s="83" t="s">
        <v>2059</v>
      </c>
      <c r="G252" s="83" t="b">
        <v>0</v>
      </c>
      <c r="H252" s="83" t="b">
        <v>0</v>
      </c>
      <c r="I252" s="83" t="b">
        <v>0</v>
      </c>
      <c r="J252" s="83" t="b">
        <v>0</v>
      </c>
      <c r="K252" s="83" t="b">
        <v>0</v>
      </c>
      <c r="L252" s="83" t="b">
        <v>0</v>
      </c>
    </row>
    <row r="253" spans="1:12" ht="15">
      <c r="A253" s="84" t="s">
        <v>2006</v>
      </c>
      <c r="B253" s="83" t="s">
        <v>2007</v>
      </c>
      <c r="C253" s="83">
        <v>2</v>
      </c>
      <c r="D253" s="110">
        <v>0.0012314030084370953</v>
      </c>
      <c r="E253" s="110">
        <v>3.269629674357553</v>
      </c>
      <c r="F253" s="83" t="s">
        <v>2059</v>
      </c>
      <c r="G253" s="83" t="b">
        <v>0</v>
      </c>
      <c r="H253" s="83" t="b">
        <v>0</v>
      </c>
      <c r="I253" s="83" t="b">
        <v>0</v>
      </c>
      <c r="J253" s="83" t="b">
        <v>0</v>
      </c>
      <c r="K253" s="83" t="b">
        <v>0</v>
      </c>
      <c r="L253" s="83" t="b">
        <v>0</v>
      </c>
    </row>
    <row r="254" spans="1:12" ht="15">
      <c r="A254" s="84" t="s">
        <v>2007</v>
      </c>
      <c r="B254" s="83" t="s">
        <v>2008</v>
      </c>
      <c r="C254" s="83">
        <v>2</v>
      </c>
      <c r="D254" s="110">
        <v>0.0012314030084370953</v>
      </c>
      <c r="E254" s="110">
        <v>3.269629674357553</v>
      </c>
      <c r="F254" s="83" t="s">
        <v>2059</v>
      </c>
      <c r="G254" s="83" t="b">
        <v>0</v>
      </c>
      <c r="H254" s="83" t="b">
        <v>0</v>
      </c>
      <c r="I254" s="83" t="b">
        <v>0</v>
      </c>
      <c r="J254" s="83" t="b">
        <v>0</v>
      </c>
      <c r="K254" s="83" t="b">
        <v>0</v>
      </c>
      <c r="L254" s="83" t="b">
        <v>0</v>
      </c>
    </row>
    <row r="255" spans="1:12" ht="15">
      <c r="A255" s="84" t="s">
        <v>2008</v>
      </c>
      <c r="B255" s="83" t="s">
        <v>2009</v>
      </c>
      <c r="C255" s="83">
        <v>2</v>
      </c>
      <c r="D255" s="110">
        <v>0.0012314030084370953</v>
      </c>
      <c r="E255" s="110">
        <v>3.269629674357553</v>
      </c>
      <c r="F255" s="83" t="s">
        <v>2059</v>
      </c>
      <c r="G255" s="83" t="b">
        <v>0</v>
      </c>
      <c r="H255" s="83" t="b">
        <v>0</v>
      </c>
      <c r="I255" s="83" t="b">
        <v>0</v>
      </c>
      <c r="J255" s="83" t="b">
        <v>0</v>
      </c>
      <c r="K255" s="83" t="b">
        <v>0</v>
      </c>
      <c r="L255" s="83" t="b">
        <v>0</v>
      </c>
    </row>
    <row r="256" spans="1:12" ht="15">
      <c r="A256" s="84" t="s">
        <v>2009</v>
      </c>
      <c r="B256" s="83" t="s">
        <v>2010</v>
      </c>
      <c r="C256" s="83">
        <v>2</v>
      </c>
      <c r="D256" s="110">
        <v>0.0012314030084370953</v>
      </c>
      <c r="E256" s="110">
        <v>3.269629674357553</v>
      </c>
      <c r="F256" s="83" t="s">
        <v>2059</v>
      </c>
      <c r="G256" s="83" t="b">
        <v>0</v>
      </c>
      <c r="H256" s="83" t="b">
        <v>0</v>
      </c>
      <c r="I256" s="83" t="b">
        <v>0</v>
      </c>
      <c r="J256" s="83" t="b">
        <v>0</v>
      </c>
      <c r="K256" s="83" t="b">
        <v>0</v>
      </c>
      <c r="L256" s="83" t="b">
        <v>0</v>
      </c>
    </row>
    <row r="257" spans="1:12" ht="15">
      <c r="A257" s="84" t="s">
        <v>2010</v>
      </c>
      <c r="B257" s="83" t="s">
        <v>2011</v>
      </c>
      <c r="C257" s="83">
        <v>2</v>
      </c>
      <c r="D257" s="110">
        <v>0.0012314030084370953</v>
      </c>
      <c r="E257" s="110">
        <v>3.269629674357553</v>
      </c>
      <c r="F257" s="83" t="s">
        <v>2059</v>
      </c>
      <c r="G257" s="83" t="b">
        <v>0</v>
      </c>
      <c r="H257" s="83" t="b">
        <v>0</v>
      </c>
      <c r="I257" s="83" t="b">
        <v>0</v>
      </c>
      <c r="J257" s="83" t="b">
        <v>0</v>
      </c>
      <c r="K257" s="83" t="b">
        <v>0</v>
      </c>
      <c r="L257" s="83" t="b">
        <v>0</v>
      </c>
    </row>
    <row r="258" spans="1:12" ht="15">
      <c r="A258" s="84" t="s">
        <v>2011</v>
      </c>
      <c r="B258" s="83" t="s">
        <v>2012</v>
      </c>
      <c r="C258" s="83">
        <v>2</v>
      </c>
      <c r="D258" s="110">
        <v>0.0012314030084370953</v>
      </c>
      <c r="E258" s="110">
        <v>3.269629674357553</v>
      </c>
      <c r="F258" s="83" t="s">
        <v>2059</v>
      </c>
      <c r="G258" s="83" t="b">
        <v>0</v>
      </c>
      <c r="H258" s="83" t="b">
        <v>0</v>
      </c>
      <c r="I258" s="83" t="b">
        <v>0</v>
      </c>
      <c r="J258" s="83" t="b">
        <v>0</v>
      </c>
      <c r="K258" s="83" t="b">
        <v>0</v>
      </c>
      <c r="L258" s="83" t="b">
        <v>0</v>
      </c>
    </row>
    <row r="259" spans="1:12" ht="15">
      <c r="A259" s="84" t="s">
        <v>2012</v>
      </c>
      <c r="B259" s="83" t="s">
        <v>2013</v>
      </c>
      <c r="C259" s="83">
        <v>2</v>
      </c>
      <c r="D259" s="110">
        <v>0.0012314030084370953</v>
      </c>
      <c r="E259" s="110">
        <v>3.269629674357553</v>
      </c>
      <c r="F259" s="83" t="s">
        <v>2059</v>
      </c>
      <c r="G259" s="83" t="b">
        <v>0</v>
      </c>
      <c r="H259" s="83" t="b">
        <v>0</v>
      </c>
      <c r="I259" s="83" t="b">
        <v>0</v>
      </c>
      <c r="J259" s="83" t="b">
        <v>0</v>
      </c>
      <c r="K259" s="83" t="b">
        <v>0</v>
      </c>
      <c r="L259" s="83" t="b">
        <v>0</v>
      </c>
    </row>
    <row r="260" spans="1:12" ht="15">
      <c r="A260" s="84" t="s">
        <v>2013</v>
      </c>
      <c r="B260" s="83" t="s">
        <v>2014</v>
      </c>
      <c r="C260" s="83">
        <v>2</v>
      </c>
      <c r="D260" s="110">
        <v>0.0012314030084370953</v>
      </c>
      <c r="E260" s="110">
        <v>3.269629674357553</v>
      </c>
      <c r="F260" s="83" t="s">
        <v>2059</v>
      </c>
      <c r="G260" s="83" t="b">
        <v>0</v>
      </c>
      <c r="H260" s="83" t="b">
        <v>0</v>
      </c>
      <c r="I260" s="83" t="b">
        <v>0</v>
      </c>
      <c r="J260" s="83" t="b">
        <v>0</v>
      </c>
      <c r="K260" s="83" t="b">
        <v>0</v>
      </c>
      <c r="L260" s="83" t="b">
        <v>0</v>
      </c>
    </row>
    <row r="261" spans="1:12" ht="15">
      <c r="A261" s="84" t="s">
        <v>2014</v>
      </c>
      <c r="B261" s="83" t="s">
        <v>2015</v>
      </c>
      <c r="C261" s="83">
        <v>2</v>
      </c>
      <c r="D261" s="110">
        <v>0.0012314030084370953</v>
      </c>
      <c r="E261" s="110">
        <v>3.269629674357553</v>
      </c>
      <c r="F261" s="83" t="s">
        <v>2059</v>
      </c>
      <c r="G261" s="83" t="b">
        <v>0</v>
      </c>
      <c r="H261" s="83" t="b">
        <v>0</v>
      </c>
      <c r="I261" s="83" t="b">
        <v>0</v>
      </c>
      <c r="J261" s="83" t="b">
        <v>0</v>
      </c>
      <c r="K261" s="83" t="b">
        <v>0</v>
      </c>
      <c r="L261" s="83" t="b">
        <v>0</v>
      </c>
    </row>
    <row r="262" spans="1:12" ht="15">
      <c r="A262" s="84" t="s">
        <v>2015</v>
      </c>
      <c r="B262" s="83" t="s">
        <v>2016</v>
      </c>
      <c r="C262" s="83">
        <v>2</v>
      </c>
      <c r="D262" s="110">
        <v>0.0012314030084370953</v>
      </c>
      <c r="E262" s="110">
        <v>3.269629674357553</v>
      </c>
      <c r="F262" s="83" t="s">
        <v>2059</v>
      </c>
      <c r="G262" s="83" t="b">
        <v>0</v>
      </c>
      <c r="H262" s="83" t="b">
        <v>0</v>
      </c>
      <c r="I262" s="83" t="b">
        <v>0</v>
      </c>
      <c r="J262" s="83" t="b">
        <v>0</v>
      </c>
      <c r="K262" s="83" t="b">
        <v>0</v>
      </c>
      <c r="L262" s="83" t="b">
        <v>0</v>
      </c>
    </row>
    <row r="263" spans="1:12" ht="15">
      <c r="A263" s="84" t="s">
        <v>1437</v>
      </c>
      <c r="B263" s="83" t="s">
        <v>1578</v>
      </c>
      <c r="C263" s="83">
        <v>2</v>
      </c>
      <c r="D263" s="110">
        <v>0.0010812259090786612</v>
      </c>
      <c r="E263" s="110">
        <v>1.7577463133786786</v>
      </c>
      <c r="F263" s="83" t="s">
        <v>2059</v>
      </c>
      <c r="G263" s="83" t="b">
        <v>0</v>
      </c>
      <c r="H263" s="83" t="b">
        <v>0</v>
      </c>
      <c r="I263" s="83" t="b">
        <v>0</v>
      </c>
      <c r="J263" s="83" t="b">
        <v>0</v>
      </c>
      <c r="K263" s="83" t="b">
        <v>0</v>
      </c>
      <c r="L263" s="83" t="b">
        <v>0</v>
      </c>
    </row>
    <row r="264" spans="1:12" ht="15">
      <c r="A264" s="84" t="s">
        <v>1432</v>
      </c>
      <c r="B264" s="83" t="s">
        <v>1603</v>
      </c>
      <c r="C264" s="83">
        <v>2</v>
      </c>
      <c r="D264" s="110">
        <v>0.0010812259090786612</v>
      </c>
      <c r="E264" s="110">
        <v>1.764479696037647</v>
      </c>
      <c r="F264" s="83" t="s">
        <v>2059</v>
      </c>
      <c r="G264" s="83" t="b">
        <v>0</v>
      </c>
      <c r="H264" s="83" t="b">
        <v>0</v>
      </c>
      <c r="I264" s="83" t="b">
        <v>0</v>
      </c>
      <c r="J264" s="83" t="b">
        <v>0</v>
      </c>
      <c r="K264" s="83" t="b">
        <v>0</v>
      </c>
      <c r="L264" s="83" t="b">
        <v>0</v>
      </c>
    </row>
    <row r="265" spans="1:12" ht="15">
      <c r="A265" s="84" t="s">
        <v>1603</v>
      </c>
      <c r="B265" s="83" t="s">
        <v>1642</v>
      </c>
      <c r="C265" s="83">
        <v>2</v>
      </c>
      <c r="D265" s="110">
        <v>0.0010812259090786612</v>
      </c>
      <c r="E265" s="110">
        <v>2.6675696830295905</v>
      </c>
      <c r="F265" s="83" t="s">
        <v>2059</v>
      </c>
      <c r="G265" s="83" t="b">
        <v>0</v>
      </c>
      <c r="H265" s="83" t="b">
        <v>0</v>
      </c>
      <c r="I265" s="83" t="b">
        <v>0</v>
      </c>
      <c r="J265" s="83" t="b">
        <v>0</v>
      </c>
      <c r="K265" s="83" t="b">
        <v>0</v>
      </c>
      <c r="L265" s="83" t="b">
        <v>0</v>
      </c>
    </row>
    <row r="266" spans="1:12" ht="15">
      <c r="A266" s="84" t="s">
        <v>1642</v>
      </c>
      <c r="B266" s="83" t="s">
        <v>1540</v>
      </c>
      <c r="C266" s="83">
        <v>2</v>
      </c>
      <c r="D266" s="110">
        <v>0.0010812259090786612</v>
      </c>
      <c r="E266" s="110">
        <v>2.7925084196378904</v>
      </c>
      <c r="F266" s="83" t="s">
        <v>2059</v>
      </c>
      <c r="G266" s="83" t="b">
        <v>0</v>
      </c>
      <c r="H266" s="83" t="b">
        <v>0</v>
      </c>
      <c r="I266" s="83" t="b">
        <v>0</v>
      </c>
      <c r="J266" s="83" t="b">
        <v>0</v>
      </c>
      <c r="K266" s="83" t="b">
        <v>0</v>
      </c>
      <c r="L266" s="83" t="b">
        <v>0</v>
      </c>
    </row>
    <row r="267" spans="1:12" ht="15">
      <c r="A267" s="84" t="s">
        <v>1540</v>
      </c>
      <c r="B267" s="83" t="s">
        <v>2018</v>
      </c>
      <c r="C267" s="83">
        <v>2</v>
      </c>
      <c r="D267" s="110">
        <v>0.0010812259090786612</v>
      </c>
      <c r="E267" s="110">
        <v>2.9685996786935718</v>
      </c>
      <c r="F267" s="83" t="s">
        <v>2059</v>
      </c>
      <c r="G267" s="83" t="b">
        <v>0</v>
      </c>
      <c r="H267" s="83" t="b">
        <v>0</v>
      </c>
      <c r="I267" s="83" t="b">
        <v>0</v>
      </c>
      <c r="J267" s="83" t="b">
        <v>0</v>
      </c>
      <c r="K267" s="83" t="b">
        <v>0</v>
      </c>
      <c r="L267" s="83" t="b">
        <v>0</v>
      </c>
    </row>
    <row r="268" spans="1:12" ht="15">
      <c r="A268" s="84" t="s">
        <v>2018</v>
      </c>
      <c r="B268" s="83" t="s">
        <v>1731</v>
      </c>
      <c r="C268" s="83">
        <v>2</v>
      </c>
      <c r="D268" s="110">
        <v>0.0010812259090786612</v>
      </c>
      <c r="E268" s="110">
        <v>3.0935384153018717</v>
      </c>
      <c r="F268" s="83" t="s">
        <v>2059</v>
      </c>
      <c r="G268" s="83" t="b">
        <v>0</v>
      </c>
      <c r="H268" s="83" t="b">
        <v>0</v>
      </c>
      <c r="I268" s="83" t="b">
        <v>0</v>
      </c>
      <c r="J268" s="83" t="b">
        <v>0</v>
      </c>
      <c r="K268" s="83" t="b">
        <v>0</v>
      </c>
      <c r="L268" s="83" t="b">
        <v>0</v>
      </c>
    </row>
    <row r="269" spans="1:12" ht="15">
      <c r="A269" s="84" t="s">
        <v>1731</v>
      </c>
      <c r="B269" s="83" t="s">
        <v>1578</v>
      </c>
      <c r="C269" s="83">
        <v>2</v>
      </c>
      <c r="D269" s="110">
        <v>0.0010812259090786612</v>
      </c>
      <c r="E269" s="110">
        <v>2.6955984066298337</v>
      </c>
      <c r="F269" s="83" t="s">
        <v>2059</v>
      </c>
      <c r="G269" s="83" t="b">
        <v>0</v>
      </c>
      <c r="H269" s="83" t="b">
        <v>0</v>
      </c>
      <c r="I269" s="83" t="b">
        <v>0</v>
      </c>
      <c r="J269" s="83" t="b">
        <v>0</v>
      </c>
      <c r="K269" s="83" t="b">
        <v>0</v>
      </c>
      <c r="L269" s="83" t="b">
        <v>0</v>
      </c>
    </row>
    <row r="270" spans="1:12" ht="15">
      <c r="A270" s="84" t="s">
        <v>1432</v>
      </c>
      <c r="B270" s="83" t="s">
        <v>1478</v>
      </c>
      <c r="C270" s="83">
        <v>2</v>
      </c>
      <c r="D270" s="110">
        <v>0.0010812259090786612</v>
      </c>
      <c r="E270" s="110">
        <v>1.3665396873656093</v>
      </c>
      <c r="F270" s="83" t="s">
        <v>2059</v>
      </c>
      <c r="G270" s="83" t="b">
        <v>0</v>
      </c>
      <c r="H270" s="83" t="b">
        <v>0</v>
      </c>
      <c r="I270" s="83" t="b">
        <v>0</v>
      </c>
      <c r="J270" s="83" t="b">
        <v>0</v>
      </c>
      <c r="K270" s="83" t="b">
        <v>0</v>
      </c>
      <c r="L270" s="83" t="b">
        <v>0</v>
      </c>
    </row>
    <row r="271" spans="1:12" ht="15">
      <c r="A271" s="84" t="s">
        <v>1478</v>
      </c>
      <c r="B271" s="83" t="s">
        <v>1642</v>
      </c>
      <c r="C271" s="83">
        <v>2</v>
      </c>
      <c r="D271" s="110">
        <v>0.0010812259090786612</v>
      </c>
      <c r="E271" s="110">
        <v>2.269629674357553</v>
      </c>
      <c r="F271" s="83" t="s">
        <v>2059</v>
      </c>
      <c r="G271" s="83" t="b">
        <v>0</v>
      </c>
      <c r="H271" s="83" t="b">
        <v>0</v>
      </c>
      <c r="I271" s="83" t="b">
        <v>0</v>
      </c>
      <c r="J271" s="83" t="b">
        <v>0</v>
      </c>
      <c r="K271" s="83" t="b">
        <v>0</v>
      </c>
      <c r="L271" s="83" t="b">
        <v>0</v>
      </c>
    </row>
    <row r="272" spans="1:12" ht="15">
      <c r="A272" s="84" t="s">
        <v>2019</v>
      </c>
      <c r="B272" s="83" t="s">
        <v>1430</v>
      </c>
      <c r="C272" s="83">
        <v>2</v>
      </c>
      <c r="D272" s="110">
        <v>0.0012314030084370953</v>
      </c>
      <c r="E272" s="110">
        <v>1.8382659101985654</v>
      </c>
      <c r="F272" s="83" t="s">
        <v>2059</v>
      </c>
      <c r="G272" s="83" t="b">
        <v>0</v>
      </c>
      <c r="H272" s="83" t="b">
        <v>0</v>
      </c>
      <c r="I272" s="83" t="b">
        <v>0</v>
      </c>
      <c r="J272" s="83" t="b">
        <v>0</v>
      </c>
      <c r="K272" s="83" t="b">
        <v>0</v>
      </c>
      <c r="L272" s="83" t="b">
        <v>0</v>
      </c>
    </row>
    <row r="273" spans="1:12" ht="15">
      <c r="A273" s="84" t="s">
        <v>1474</v>
      </c>
      <c r="B273" s="83" t="s">
        <v>1478</v>
      </c>
      <c r="C273" s="83">
        <v>2</v>
      </c>
      <c r="D273" s="110">
        <v>0.0010812259090786612</v>
      </c>
      <c r="E273" s="110">
        <v>1.8302969805272902</v>
      </c>
      <c r="F273" s="83" t="s">
        <v>2059</v>
      </c>
      <c r="G273" s="83" t="b">
        <v>0</v>
      </c>
      <c r="H273" s="83" t="b">
        <v>0</v>
      </c>
      <c r="I273" s="83" t="b">
        <v>0</v>
      </c>
      <c r="J273" s="83" t="b">
        <v>0</v>
      </c>
      <c r="K273" s="83" t="b">
        <v>0</v>
      </c>
      <c r="L273" s="83" t="b">
        <v>0</v>
      </c>
    </row>
    <row r="274" spans="1:12" ht="15">
      <c r="A274" s="84" t="s">
        <v>1478</v>
      </c>
      <c r="B274" s="83" t="s">
        <v>1448</v>
      </c>
      <c r="C274" s="83">
        <v>2</v>
      </c>
      <c r="D274" s="110">
        <v>0.0010812259090786612</v>
      </c>
      <c r="E274" s="110">
        <v>1.6412407443072412</v>
      </c>
      <c r="F274" s="83" t="s">
        <v>2059</v>
      </c>
      <c r="G274" s="83" t="b">
        <v>0</v>
      </c>
      <c r="H274" s="83" t="b">
        <v>0</v>
      </c>
      <c r="I274" s="83" t="b">
        <v>0</v>
      </c>
      <c r="J274" s="83" t="b">
        <v>0</v>
      </c>
      <c r="K274" s="83" t="b">
        <v>0</v>
      </c>
      <c r="L274" s="83" t="b">
        <v>0</v>
      </c>
    </row>
    <row r="275" spans="1:12" ht="15">
      <c r="A275" s="84" t="s">
        <v>1499</v>
      </c>
      <c r="B275" s="83" t="s">
        <v>1474</v>
      </c>
      <c r="C275" s="83">
        <v>2</v>
      </c>
      <c r="D275" s="110">
        <v>0.0010812259090786612</v>
      </c>
      <c r="E275" s="110">
        <v>1.9851989405130332</v>
      </c>
      <c r="F275" s="83" t="s">
        <v>2059</v>
      </c>
      <c r="G275" s="83" t="b">
        <v>0</v>
      </c>
      <c r="H275" s="83" t="b">
        <v>0</v>
      </c>
      <c r="I275" s="83" t="b">
        <v>0</v>
      </c>
      <c r="J275" s="83" t="b">
        <v>0</v>
      </c>
      <c r="K275" s="83" t="b">
        <v>0</v>
      </c>
      <c r="L275" s="83" t="b">
        <v>0</v>
      </c>
    </row>
    <row r="276" spans="1:12" ht="15">
      <c r="A276" s="84" t="s">
        <v>1448</v>
      </c>
      <c r="B276" s="83" t="s">
        <v>1474</v>
      </c>
      <c r="C276" s="83">
        <v>2</v>
      </c>
      <c r="D276" s="110">
        <v>0.0010812259090786612</v>
      </c>
      <c r="E276" s="110">
        <v>1.6261769978713654</v>
      </c>
      <c r="F276" s="83" t="s">
        <v>2059</v>
      </c>
      <c r="G276" s="83" t="b">
        <v>0</v>
      </c>
      <c r="H276" s="83" t="b">
        <v>0</v>
      </c>
      <c r="I276" s="83" t="b">
        <v>0</v>
      </c>
      <c r="J276" s="83" t="b">
        <v>0</v>
      </c>
      <c r="K276" s="83" t="b">
        <v>0</v>
      </c>
      <c r="L276" s="83" t="b">
        <v>0</v>
      </c>
    </row>
    <row r="277" spans="1:12" ht="15">
      <c r="A277" s="84" t="s">
        <v>1580</v>
      </c>
      <c r="B277" s="83" t="s">
        <v>1514</v>
      </c>
      <c r="C277" s="83">
        <v>2</v>
      </c>
      <c r="D277" s="110">
        <v>0.0010812259090786612</v>
      </c>
      <c r="E277" s="110">
        <v>2.549470370951596</v>
      </c>
      <c r="F277" s="83" t="s">
        <v>2059</v>
      </c>
      <c r="G277" s="83" t="b">
        <v>0</v>
      </c>
      <c r="H277" s="83" t="b">
        <v>0</v>
      </c>
      <c r="I277" s="83" t="b">
        <v>0</v>
      </c>
      <c r="J277" s="83" t="b">
        <v>0</v>
      </c>
      <c r="K277" s="83" t="b">
        <v>0</v>
      </c>
      <c r="L277" s="83" t="b">
        <v>0</v>
      </c>
    </row>
    <row r="278" spans="1:12" ht="15">
      <c r="A278" s="84" t="s">
        <v>1514</v>
      </c>
      <c r="B278" s="83" t="s">
        <v>1478</v>
      </c>
      <c r="C278" s="83">
        <v>2</v>
      </c>
      <c r="D278" s="110">
        <v>0.0010812259090786612</v>
      </c>
      <c r="E278" s="110">
        <v>2.026591625671258</v>
      </c>
      <c r="F278" s="83" t="s">
        <v>2059</v>
      </c>
      <c r="G278" s="83" t="b">
        <v>0</v>
      </c>
      <c r="H278" s="83" t="b">
        <v>0</v>
      </c>
      <c r="I278" s="83" t="b">
        <v>0</v>
      </c>
      <c r="J278" s="83" t="b">
        <v>0</v>
      </c>
      <c r="K278" s="83" t="b">
        <v>0</v>
      </c>
      <c r="L278" s="83" t="b">
        <v>0</v>
      </c>
    </row>
    <row r="279" spans="1:12" ht="15">
      <c r="A279" s="84" t="s">
        <v>1478</v>
      </c>
      <c r="B279" s="83" t="s">
        <v>1473</v>
      </c>
      <c r="C279" s="83">
        <v>2</v>
      </c>
      <c r="D279" s="110">
        <v>0.0010812259090786612</v>
      </c>
      <c r="E279" s="110">
        <v>1.8302969805272902</v>
      </c>
      <c r="F279" s="83" t="s">
        <v>2059</v>
      </c>
      <c r="G279" s="83" t="b">
        <v>0</v>
      </c>
      <c r="H279" s="83" t="b">
        <v>0</v>
      </c>
      <c r="I279" s="83" t="b">
        <v>0</v>
      </c>
      <c r="J279" s="83" t="b">
        <v>0</v>
      </c>
      <c r="K279" s="83" t="b">
        <v>0</v>
      </c>
      <c r="L279" s="83" t="b">
        <v>0</v>
      </c>
    </row>
    <row r="280" spans="1:12" ht="15">
      <c r="A280" s="84" t="s">
        <v>1473</v>
      </c>
      <c r="B280" s="83" t="s">
        <v>1754</v>
      </c>
      <c r="C280" s="83">
        <v>2</v>
      </c>
      <c r="D280" s="110">
        <v>0.0010812259090786612</v>
      </c>
      <c r="E280" s="110">
        <v>2.4403259015265277</v>
      </c>
      <c r="F280" s="83" t="s">
        <v>2059</v>
      </c>
      <c r="G280" s="83" t="b">
        <v>0</v>
      </c>
      <c r="H280" s="83" t="b">
        <v>0</v>
      </c>
      <c r="I280" s="83" t="b">
        <v>0</v>
      </c>
      <c r="J280" s="83" t="b">
        <v>1</v>
      </c>
      <c r="K280" s="83" t="b">
        <v>0</v>
      </c>
      <c r="L280" s="83" t="b">
        <v>0</v>
      </c>
    </row>
    <row r="281" spans="1:12" ht="15">
      <c r="A281" s="84" t="s">
        <v>1754</v>
      </c>
      <c r="B281" s="83" t="s">
        <v>1541</v>
      </c>
      <c r="C281" s="83">
        <v>2</v>
      </c>
      <c r="D281" s="110">
        <v>0.0010812259090786612</v>
      </c>
      <c r="E281" s="110">
        <v>2.616417160582209</v>
      </c>
      <c r="F281" s="83" t="s">
        <v>2059</v>
      </c>
      <c r="G281" s="83" t="b">
        <v>1</v>
      </c>
      <c r="H281" s="83" t="b">
        <v>0</v>
      </c>
      <c r="I281" s="83" t="b">
        <v>0</v>
      </c>
      <c r="J281" s="83" t="b">
        <v>0</v>
      </c>
      <c r="K281" s="83" t="b">
        <v>0</v>
      </c>
      <c r="L281" s="83" t="b">
        <v>0</v>
      </c>
    </row>
    <row r="282" spans="1:12" ht="15">
      <c r="A282" s="84" t="s">
        <v>1541</v>
      </c>
      <c r="B282" s="83" t="s">
        <v>1438</v>
      </c>
      <c r="C282" s="83">
        <v>2</v>
      </c>
      <c r="D282" s="110">
        <v>0.0010812259090786612</v>
      </c>
      <c r="E282" s="110">
        <v>1.7925084196378904</v>
      </c>
      <c r="F282" s="83" t="s">
        <v>2059</v>
      </c>
      <c r="G282" s="83" t="b">
        <v>0</v>
      </c>
      <c r="H282" s="83" t="b">
        <v>0</v>
      </c>
      <c r="I282" s="83" t="b">
        <v>0</v>
      </c>
      <c r="J282" s="83" t="b">
        <v>1</v>
      </c>
      <c r="K282" s="83" t="b">
        <v>0</v>
      </c>
      <c r="L282" s="83" t="b">
        <v>0</v>
      </c>
    </row>
    <row r="283" spans="1:12" ht="15">
      <c r="A283" s="84" t="s">
        <v>1438</v>
      </c>
      <c r="B283" s="83" t="s">
        <v>2021</v>
      </c>
      <c r="C283" s="83">
        <v>2</v>
      </c>
      <c r="D283" s="110">
        <v>0.0010812259090786612</v>
      </c>
      <c r="E283" s="110">
        <v>2.2484403752876148</v>
      </c>
      <c r="F283" s="83" t="s">
        <v>2059</v>
      </c>
      <c r="G283" s="83" t="b">
        <v>1</v>
      </c>
      <c r="H283" s="83" t="b">
        <v>0</v>
      </c>
      <c r="I283" s="83" t="b">
        <v>0</v>
      </c>
      <c r="J283" s="83" t="b">
        <v>0</v>
      </c>
      <c r="K283" s="83" t="b">
        <v>0</v>
      </c>
      <c r="L283" s="83" t="b">
        <v>0</v>
      </c>
    </row>
    <row r="284" spans="1:12" ht="15">
      <c r="A284" s="84" t="s">
        <v>2021</v>
      </c>
      <c r="B284" s="83" t="s">
        <v>2022</v>
      </c>
      <c r="C284" s="83">
        <v>2</v>
      </c>
      <c r="D284" s="110">
        <v>0.0010812259090786612</v>
      </c>
      <c r="E284" s="110">
        <v>3.269629674357553</v>
      </c>
      <c r="F284" s="83" t="s">
        <v>2059</v>
      </c>
      <c r="G284" s="83" t="b">
        <v>0</v>
      </c>
      <c r="H284" s="83" t="b">
        <v>0</v>
      </c>
      <c r="I284" s="83" t="b">
        <v>0</v>
      </c>
      <c r="J284" s="83" t="b">
        <v>0</v>
      </c>
      <c r="K284" s="83" t="b">
        <v>0</v>
      </c>
      <c r="L284" s="83" t="b">
        <v>0</v>
      </c>
    </row>
    <row r="285" spans="1:12" ht="15">
      <c r="A285" s="84" t="s">
        <v>2022</v>
      </c>
      <c r="B285" s="83" t="s">
        <v>2023</v>
      </c>
      <c r="C285" s="83">
        <v>2</v>
      </c>
      <c r="D285" s="110">
        <v>0.0010812259090786612</v>
      </c>
      <c r="E285" s="110">
        <v>3.269629674357553</v>
      </c>
      <c r="F285" s="83" t="s">
        <v>2059</v>
      </c>
      <c r="G285" s="83" t="b">
        <v>0</v>
      </c>
      <c r="H285" s="83" t="b">
        <v>0</v>
      </c>
      <c r="I285" s="83" t="b">
        <v>0</v>
      </c>
      <c r="J285" s="83" t="b">
        <v>0</v>
      </c>
      <c r="K285" s="83" t="b">
        <v>0</v>
      </c>
      <c r="L285" s="83" t="b">
        <v>0</v>
      </c>
    </row>
    <row r="286" spans="1:12" ht="15">
      <c r="A286" s="84" t="s">
        <v>2023</v>
      </c>
      <c r="B286" s="83" t="s">
        <v>1730</v>
      </c>
      <c r="C286" s="83">
        <v>2</v>
      </c>
      <c r="D286" s="110">
        <v>0.0010812259090786612</v>
      </c>
      <c r="E286" s="110">
        <v>3.0935384153018717</v>
      </c>
      <c r="F286" s="83" t="s">
        <v>2059</v>
      </c>
      <c r="G286" s="83" t="b">
        <v>0</v>
      </c>
      <c r="H286" s="83" t="b">
        <v>0</v>
      </c>
      <c r="I286" s="83" t="b">
        <v>0</v>
      </c>
      <c r="J286" s="83" t="b">
        <v>0</v>
      </c>
      <c r="K286" s="83" t="b">
        <v>0</v>
      </c>
      <c r="L286" s="83" t="b">
        <v>0</v>
      </c>
    </row>
    <row r="287" spans="1:12" ht="15">
      <c r="A287" s="84" t="s">
        <v>1730</v>
      </c>
      <c r="B287" s="83" t="s">
        <v>1644</v>
      </c>
      <c r="C287" s="83">
        <v>2</v>
      </c>
      <c r="D287" s="110">
        <v>0.0010812259090786612</v>
      </c>
      <c r="E287" s="110">
        <v>2.9685996786935718</v>
      </c>
      <c r="F287" s="83" t="s">
        <v>2059</v>
      </c>
      <c r="G287" s="83" t="b">
        <v>0</v>
      </c>
      <c r="H287" s="83" t="b">
        <v>0</v>
      </c>
      <c r="I287" s="83" t="b">
        <v>0</v>
      </c>
      <c r="J287" s="83" t="b">
        <v>0</v>
      </c>
      <c r="K287" s="83" t="b">
        <v>0</v>
      </c>
      <c r="L287" s="83" t="b">
        <v>0</v>
      </c>
    </row>
    <row r="288" spans="1:12" ht="15">
      <c r="A288" s="84" t="s">
        <v>1644</v>
      </c>
      <c r="B288" s="83" t="s">
        <v>1515</v>
      </c>
      <c r="C288" s="83">
        <v>2</v>
      </c>
      <c r="D288" s="110">
        <v>0.0010812259090786612</v>
      </c>
      <c r="E288" s="110">
        <v>2.424531634343296</v>
      </c>
      <c r="F288" s="83" t="s">
        <v>2059</v>
      </c>
      <c r="G288" s="83" t="b">
        <v>0</v>
      </c>
      <c r="H288" s="83" t="b">
        <v>0</v>
      </c>
      <c r="I288" s="83" t="b">
        <v>0</v>
      </c>
      <c r="J288" s="83" t="b">
        <v>0</v>
      </c>
      <c r="K288" s="83" t="b">
        <v>0</v>
      </c>
      <c r="L288" s="83" t="b">
        <v>0</v>
      </c>
    </row>
    <row r="289" spans="1:12" ht="15">
      <c r="A289" s="84" t="s">
        <v>1515</v>
      </c>
      <c r="B289" s="83" t="s">
        <v>1645</v>
      </c>
      <c r="C289" s="83">
        <v>2</v>
      </c>
      <c r="D289" s="110">
        <v>0.0010812259090786612</v>
      </c>
      <c r="E289" s="110">
        <v>2.424531634343296</v>
      </c>
      <c r="F289" s="83" t="s">
        <v>2059</v>
      </c>
      <c r="G289" s="83" t="b">
        <v>0</v>
      </c>
      <c r="H289" s="83" t="b">
        <v>0</v>
      </c>
      <c r="I289" s="83" t="b">
        <v>0</v>
      </c>
      <c r="J289" s="83" t="b">
        <v>0</v>
      </c>
      <c r="K289" s="83" t="b">
        <v>0</v>
      </c>
      <c r="L289" s="83" t="b">
        <v>0</v>
      </c>
    </row>
    <row r="290" spans="1:12" ht="15">
      <c r="A290" s="84" t="s">
        <v>1645</v>
      </c>
      <c r="B290" s="83" t="s">
        <v>1718</v>
      </c>
      <c r="C290" s="83">
        <v>2</v>
      </c>
      <c r="D290" s="110">
        <v>0.0010812259090786612</v>
      </c>
      <c r="E290" s="110">
        <v>2.7925084196378904</v>
      </c>
      <c r="F290" s="83" t="s">
        <v>2059</v>
      </c>
      <c r="G290" s="83" t="b">
        <v>0</v>
      </c>
      <c r="H290" s="83" t="b">
        <v>0</v>
      </c>
      <c r="I290" s="83" t="b">
        <v>0</v>
      </c>
      <c r="J290" s="83" t="b">
        <v>0</v>
      </c>
      <c r="K290" s="83" t="b">
        <v>0</v>
      </c>
      <c r="L290" s="83" t="b">
        <v>0</v>
      </c>
    </row>
    <row r="291" spans="1:12" ht="15">
      <c r="A291" s="84" t="s">
        <v>1718</v>
      </c>
      <c r="B291" s="83" t="s">
        <v>1644</v>
      </c>
      <c r="C291" s="83">
        <v>2</v>
      </c>
      <c r="D291" s="110">
        <v>0.0010812259090786612</v>
      </c>
      <c r="E291" s="110">
        <v>2.7925084196378904</v>
      </c>
      <c r="F291" s="83" t="s">
        <v>2059</v>
      </c>
      <c r="G291" s="83" t="b">
        <v>0</v>
      </c>
      <c r="H291" s="83" t="b">
        <v>0</v>
      </c>
      <c r="I291" s="83" t="b">
        <v>0</v>
      </c>
      <c r="J291" s="83" t="b">
        <v>0</v>
      </c>
      <c r="K291" s="83" t="b">
        <v>0</v>
      </c>
      <c r="L291" s="83" t="b">
        <v>0</v>
      </c>
    </row>
    <row r="292" spans="1:12" ht="15">
      <c r="A292" s="84" t="s">
        <v>1644</v>
      </c>
      <c r="B292" s="83" t="s">
        <v>1645</v>
      </c>
      <c r="C292" s="83">
        <v>2</v>
      </c>
      <c r="D292" s="110">
        <v>0.0010812259090786612</v>
      </c>
      <c r="E292" s="110">
        <v>2.6675696830295905</v>
      </c>
      <c r="F292" s="83" t="s">
        <v>2059</v>
      </c>
      <c r="G292" s="83" t="b">
        <v>0</v>
      </c>
      <c r="H292" s="83" t="b">
        <v>0</v>
      </c>
      <c r="I292" s="83" t="b">
        <v>0</v>
      </c>
      <c r="J292" s="83" t="b">
        <v>0</v>
      </c>
      <c r="K292" s="83" t="b">
        <v>0</v>
      </c>
      <c r="L292" s="83" t="b">
        <v>0</v>
      </c>
    </row>
    <row r="293" spans="1:12" ht="15">
      <c r="A293" s="84" t="s">
        <v>1645</v>
      </c>
      <c r="B293" s="83" t="s">
        <v>1715</v>
      </c>
      <c r="C293" s="83">
        <v>2</v>
      </c>
      <c r="D293" s="110">
        <v>0.0010812259090786612</v>
      </c>
      <c r="E293" s="110">
        <v>2.7925084196378904</v>
      </c>
      <c r="F293" s="83" t="s">
        <v>2059</v>
      </c>
      <c r="G293" s="83" t="b">
        <v>0</v>
      </c>
      <c r="H293" s="83" t="b">
        <v>0</v>
      </c>
      <c r="I293" s="83" t="b">
        <v>0</v>
      </c>
      <c r="J293" s="83" t="b">
        <v>0</v>
      </c>
      <c r="K293" s="83" t="b">
        <v>0</v>
      </c>
      <c r="L293" s="83" t="b">
        <v>0</v>
      </c>
    </row>
    <row r="294" spans="1:12" ht="15">
      <c r="A294" s="84" t="s">
        <v>1715</v>
      </c>
      <c r="B294" s="83" t="s">
        <v>1437</v>
      </c>
      <c r="C294" s="83">
        <v>2</v>
      </c>
      <c r="D294" s="110">
        <v>0.0010812259090786612</v>
      </c>
      <c r="E294" s="110">
        <v>2.208931834003941</v>
      </c>
      <c r="F294" s="83" t="s">
        <v>2059</v>
      </c>
      <c r="G294" s="83" t="b">
        <v>0</v>
      </c>
      <c r="H294" s="83" t="b">
        <v>0</v>
      </c>
      <c r="I294" s="83" t="b">
        <v>0</v>
      </c>
      <c r="J294" s="83" t="b">
        <v>0</v>
      </c>
      <c r="K294" s="83" t="b">
        <v>0</v>
      </c>
      <c r="L294" s="83" t="b">
        <v>0</v>
      </c>
    </row>
    <row r="295" spans="1:12" ht="15">
      <c r="A295" s="84" t="s">
        <v>1429</v>
      </c>
      <c r="B295" s="83" t="s">
        <v>1755</v>
      </c>
      <c r="C295" s="83">
        <v>2</v>
      </c>
      <c r="D295" s="110">
        <v>0.0010812259090786612</v>
      </c>
      <c r="E295" s="110">
        <v>1.6542057214716088</v>
      </c>
      <c r="F295" s="83" t="s">
        <v>2059</v>
      </c>
      <c r="G295" s="83" t="b">
        <v>0</v>
      </c>
      <c r="H295" s="83" t="b">
        <v>0</v>
      </c>
      <c r="I295" s="83" t="b">
        <v>0</v>
      </c>
      <c r="J295" s="83" t="b">
        <v>0</v>
      </c>
      <c r="K295" s="83" t="b">
        <v>0</v>
      </c>
      <c r="L295" s="83" t="b">
        <v>0</v>
      </c>
    </row>
    <row r="296" spans="1:12" ht="15">
      <c r="A296" s="84" t="s">
        <v>1756</v>
      </c>
      <c r="B296" s="83" t="s">
        <v>1503</v>
      </c>
      <c r="C296" s="83">
        <v>2</v>
      </c>
      <c r="D296" s="110">
        <v>0.0012314030084370953</v>
      </c>
      <c r="E296" s="110">
        <v>2.491478423973909</v>
      </c>
      <c r="F296" s="83" t="s">
        <v>2059</v>
      </c>
      <c r="G296" s="83" t="b">
        <v>0</v>
      </c>
      <c r="H296" s="83" t="b">
        <v>0</v>
      </c>
      <c r="I296" s="83" t="b">
        <v>0</v>
      </c>
      <c r="J296" s="83" t="b">
        <v>0</v>
      </c>
      <c r="K296" s="83" t="b">
        <v>0</v>
      </c>
      <c r="L296" s="83" t="b">
        <v>0</v>
      </c>
    </row>
    <row r="297" spans="1:12" ht="15">
      <c r="A297" s="84" t="s">
        <v>2031</v>
      </c>
      <c r="B297" s="83" t="s">
        <v>1428</v>
      </c>
      <c r="C297" s="83">
        <v>2</v>
      </c>
      <c r="D297" s="110">
        <v>0.0012314030084370953</v>
      </c>
      <c r="E297" s="110">
        <v>1.5099618296679225</v>
      </c>
      <c r="F297" s="83" t="s">
        <v>2059</v>
      </c>
      <c r="G297" s="83" t="b">
        <v>0</v>
      </c>
      <c r="H297" s="83" t="b">
        <v>0</v>
      </c>
      <c r="I297" s="83" t="b">
        <v>0</v>
      </c>
      <c r="J297" s="83" t="b">
        <v>0</v>
      </c>
      <c r="K297" s="83" t="b">
        <v>0</v>
      </c>
      <c r="L297" s="83" t="b">
        <v>0</v>
      </c>
    </row>
    <row r="298" spans="1:12" ht="15">
      <c r="A298" s="84" t="s">
        <v>1428</v>
      </c>
      <c r="B298" s="83" t="s">
        <v>1757</v>
      </c>
      <c r="C298" s="83">
        <v>2</v>
      </c>
      <c r="D298" s="110">
        <v>0.0012314030084370953</v>
      </c>
      <c r="E298" s="110">
        <v>1.3531757258076278</v>
      </c>
      <c r="F298" s="83" t="s">
        <v>2059</v>
      </c>
      <c r="G298" s="83" t="b">
        <v>0</v>
      </c>
      <c r="H298" s="83" t="b">
        <v>0</v>
      </c>
      <c r="I298" s="83" t="b">
        <v>0</v>
      </c>
      <c r="J298" s="83" t="b">
        <v>0</v>
      </c>
      <c r="K298" s="83" t="b">
        <v>0</v>
      </c>
      <c r="L298" s="83" t="b">
        <v>0</v>
      </c>
    </row>
    <row r="299" spans="1:12" ht="15">
      <c r="A299" s="84" t="s">
        <v>1757</v>
      </c>
      <c r="B299" s="83" t="s">
        <v>1430</v>
      </c>
      <c r="C299" s="83">
        <v>2</v>
      </c>
      <c r="D299" s="110">
        <v>0.0012314030084370953</v>
      </c>
      <c r="E299" s="110">
        <v>1.6621746511428843</v>
      </c>
      <c r="F299" s="83" t="s">
        <v>2059</v>
      </c>
      <c r="G299" s="83" t="b">
        <v>0</v>
      </c>
      <c r="H299" s="83" t="b">
        <v>0</v>
      </c>
      <c r="I299" s="83" t="b">
        <v>0</v>
      </c>
      <c r="J299" s="83" t="b">
        <v>0</v>
      </c>
      <c r="K299" s="83" t="b">
        <v>0</v>
      </c>
      <c r="L299" s="83" t="b">
        <v>0</v>
      </c>
    </row>
    <row r="300" spans="1:12" ht="15">
      <c r="A300" s="84" t="s">
        <v>1487</v>
      </c>
      <c r="B300" s="83" t="s">
        <v>1451</v>
      </c>
      <c r="C300" s="83">
        <v>2</v>
      </c>
      <c r="D300" s="110">
        <v>0.0012314030084370953</v>
      </c>
      <c r="E300" s="110">
        <v>1.7133271735902655</v>
      </c>
      <c r="F300" s="83" t="s">
        <v>2059</v>
      </c>
      <c r="G300" s="83" t="b">
        <v>0</v>
      </c>
      <c r="H300" s="83" t="b">
        <v>0</v>
      </c>
      <c r="I300" s="83" t="b">
        <v>0</v>
      </c>
      <c r="J300" s="83" t="b">
        <v>0</v>
      </c>
      <c r="K300" s="83" t="b">
        <v>0</v>
      </c>
      <c r="L300" s="83" t="b">
        <v>0</v>
      </c>
    </row>
    <row r="301" spans="1:12" ht="15">
      <c r="A301" s="84" t="s">
        <v>1451</v>
      </c>
      <c r="B301" s="83" t="s">
        <v>1733</v>
      </c>
      <c r="C301" s="83">
        <v>2</v>
      </c>
      <c r="D301" s="110">
        <v>0.0012314030084370953</v>
      </c>
      <c r="E301" s="110">
        <v>2.280625058659016</v>
      </c>
      <c r="F301" s="83" t="s">
        <v>2059</v>
      </c>
      <c r="G301" s="83" t="b">
        <v>0</v>
      </c>
      <c r="H301" s="83" t="b">
        <v>0</v>
      </c>
      <c r="I301" s="83" t="b">
        <v>0</v>
      </c>
      <c r="J301" s="83" t="b">
        <v>0</v>
      </c>
      <c r="K301" s="83" t="b">
        <v>0</v>
      </c>
      <c r="L301" s="83" t="b">
        <v>0</v>
      </c>
    </row>
    <row r="302" spans="1:12" ht="15">
      <c r="A302" s="84" t="s">
        <v>1432</v>
      </c>
      <c r="B302" s="83" t="s">
        <v>1431</v>
      </c>
      <c r="C302" s="83">
        <v>2</v>
      </c>
      <c r="D302" s="110">
        <v>0.0012314030084370953</v>
      </c>
      <c r="E302" s="110">
        <v>0.723087010879422</v>
      </c>
      <c r="F302" s="83" t="s">
        <v>2059</v>
      </c>
      <c r="G302" s="83" t="b">
        <v>0</v>
      </c>
      <c r="H302" s="83" t="b">
        <v>0</v>
      </c>
      <c r="I302" s="83" t="b">
        <v>0</v>
      </c>
      <c r="J302" s="83" t="b">
        <v>0</v>
      </c>
      <c r="K302" s="83" t="b">
        <v>0</v>
      </c>
      <c r="L302" s="83" t="b">
        <v>0</v>
      </c>
    </row>
    <row r="303" spans="1:12" ht="15">
      <c r="A303" s="84" t="s">
        <v>2036</v>
      </c>
      <c r="B303" s="83" t="s">
        <v>1738</v>
      </c>
      <c r="C303" s="83">
        <v>2</v>
      </c>
      <c r="D303" s="110">
        <v>0.0012314030084370953</v>
      </c>
      <c r="E303" s="110">
        <v>3.0935384153018717</v>
      </c>
      <c r="F303" s="83" t="s">
        <v>2059</v>
      </c>
      <c r="G303" s="83" t="b">
        <v>0</v>
      </c>
      <c r="H303" s="83" t="b">
        <v>0</v>
      </c>
      <c r="I303" s="83" t="b">
        <v>0</v>
      </c>
      <c r="J303" s="83" t="b">
        <v>0</v>
      </c>
      <c r="K303" s="83" t="b">
        <v>0</v>
      </c>
      <c r="L303" s="83" t="b">
        <v>0</v>
      </c>
    </row>
    <row r="304" spans="1:12" ht="15">
      <c r="A304" s="84" t="s">
        <v>1738</v>
      </c>
      <c r="B304" s="83" t="s">
        <v>1701</v>
      </c>
      <c r="C304" s="83">
        <v>2</v>
      </c>
      <c r="D304" s="110">
        <v>0.0012314030084370953</v>
      </c>
      <c r="E304" s="110">
        <v>2.9174471562461903</v>
      </c>
      <c r="F304" s="83" t="s">
        <v>2059</v>
      </c>
      <c r="G304" s="83" t="b">
        <v>0</v>
      </c>
      <c r="H304" s="83" t="b">
        <v>0</v>
      </c>
      <c r="I304" s="83" t="b">
        <v>0</v>
      </c>
      <c r="J304" s="83" t="b">
        <v>0</v>
      </c>
      <c r="K304" s="83" t="b">
        <v>0</v>
      </c>
      <c r="L304" s="83" t="b">
        <v>0</v>
      </c>
    </row>
    <row r="305" spans="1:12" ht="15">
      <c r="A305" s="84" t="s">
        <v>1701</v>
      </c>
      <c r="B305" s="83" t="s">
        <v>1582</v>
      </c>
      <c r="C305" s="83">
        <v>2</v>
      </c>
      <c r="D305" s="110">
        <v>0.0012314030084370953</v>
      </c>
      <c r="E305" s="110">
        <v>2.6955984066298337</v>
      </c>
      <c r="F305" s="83" t="s">
        <v>2059</v>
      </c>
      <c r="G305" s="83" t="b">
        <v>0</v>
      </c>
      <c r="H305" s="83" t="b">
        <v>0</v>
      </c>
      <c r="I305" s="83" t="b">
        <v>0</v>
      </c>
      <c r="J305" s="83" t="b">
        <v>0</v>
      </c>
      <c r="K305" s="83" t="b">
        <v>0</v>
      </c>
      <c r="L305" s="83" t="b">
        <v>0</v>
      </c>
    </row>
    <row r="306" spans="1:12" ht="15">
      <c r="A306" s="84" t="s">
        <v>2038</v>
      </c>
      <c r="B306" s="83" t="s">
        <v>1448</v>
      </c>
      <c r="C306" s="83">
        <v>2</v>
      </c>
      <c r="D306" s="110">
        <v>0.0012314030084370953</v>
      </c>
      <c r="E306" s="110">
        <v>2.34021074864326</v>
      </c>
      <c r="F306" s="83" t="s">
        <v>2059</v>
      </c>
      <c r="G306" s="83" t="b">
        <v>0</v>
      </c>
      <c r="H306" s="83" t="b">
        <v>0</v>
      </c>
      <c r="I306" s="83" t="b">
        <v>0</v>
      </c>
      <c r="J306" s="83" t="b">
        <v>0</v>
      </c>
      <c r="K306" s="83" t="b">
        <v>0</v>
      </c>
      <c r="L306" s="83" t="b">
        <v>0</v>
      </c>
    </row>
    <row r="307" spans="1:12" ht="15">
      <c r="A307" s="84" t="s">
        <v>1646</v>
      </c>
      <c r="B307" s="83" t="s">
        <v>2039</v>
      </c>
      <c r="C307" s="83">
        <v>2</v>
      </c>
      <c r="D307" s="110">
        <v>0.0012314030084370953</v>
      </c>
      <c r="E307" s="110">
        <v>3.0935384153018717</v>
      </c>
      <c r="F307" s="83" t="s">
        <v>2059</v>
      </c>
      <c r="G307" s="83" t="b">
        <v>0</v>
      </c>
      <c r="H307" s="83" t="b">
        <v>0</v>
      </c>
      <c r="I307" s="83" t="b">
        <v>0</v>
      </c>
      <c r="J307" s="83" t="b">
        <v>0</v>
      </c>
      <c r="K307" s="83" t="b">
        <v>0</v>
      </c>
      <c r="L307" s="83" t="b">
        <v>0</v>
      </c>
    </row>
    <row r="308" spans="1:12" ht="15">
      <c r="A308" s="84" t="s">
        <v>2039</v>
      </c>
      <c r="B308" s="83" t="s">
        <v>2040</v>
      </c>
      <c r="C308" s="83">
        <v>2</v>
      </c>
      <c r="D308" s="110">
        <v>0.0012314030084370953</v>
      </c>
      <c r="E308" s="110">
        <v>3.269629674357553</v>
      </c>
      <c r="F308" s="83" t="s">
        <v>2059</v>
      </c>
      <c r="G308" s="83" t="b">
        <v>0</v>
      </c>
      <c r="H308" s="83" t="b">
        <v>0</v>
      </c>
      <c r="I308" s="83" t="b">
        <v>0</v>
      </c>
      <c r="J308" s="83" t="b">
        <v>0</v>
      </c>
      <c r="K308" s="83" t="b">
        <v>0</v>
      </c>
      <c r="L308" s="83" t="b">
        <v>0</v>
      </c>
    </row>
    <row r="309" spans="1:12" ht="15">
      <c r="A309" s="84" t="s">
        <v>1430</v>
      </c>
      <c r="B309" s="83" t="s">
        <v>1646</v>
      </c>
      <c r="C309" s="83">
        <v>2</v>
      </c>
      <c r="D309" s="110">
        <v>0.0012314030084370953</v>
      </c>
      <c r="E309" s="110">
        <v>1.5214416473513523</v>
      </c>
      <c r="F309" s="83" t="s">
        <v>2059</v>
      </c>
      <c r="G309" s="83" t="b">
        <v>0</v>
      </c>
      <c r="H309" s="83" t="b">
        <v>0</v>
      </c>
      <c r="I309" s="83" t="b">
        <v>0</v>
      </c>
      <c r="J309" s="83" t="b">
        <v>0</v>
      </c>
      <c r="K309" s="83" t="b">
        <v>0</v>
      </c>
      <c r="L309" s="83" t="b">
        <v>0</v>
      </c>
    </row>
    <row r="310" spans="1:12" ht="15">
      <c r="A310" s="84" t="s">
        <v>1639</v>
      </c>
      <c r="B310" s="83" t="s">
        <v>2041</v>
      </c>
      <c r="C310" s="83">
        <v>2</v>
      </c>
      <c r="D310" s="110">
        <v>0.0012314030084370953</v>
      </c>
      <c r="E310" s="110">
        <v>2.9685996786935718</v>
      </c>
      <c r="F310" s="83" t="s">
        <v>2059</v>
      </c>
      <c r="G310" s="83" t="b">
        <v>0</v>
      </c>
      <c r="H310" s="83" t="b">
        <v>0</v>
      </c>
      <c r="I310" s="83" t="b">
        <v>0</v>
      </c>
      <c r="J310" s="83" t="b">
        <v>0</v>
      </c>
      <c r="K310" s="83" t="b">
        <v>0</v>
      </c>
      <c r="L310" s="83" t="b">
        <v>0</v>
      </c>
    </row>
    <row r="311" spans="1:12" ht="15">
      <c r="A311" s="84" t="s">
        <v>1481</v>
      </c>
      <c r="B311" s="83" t="s">
        <v>1457</v>
      </c>
      <c r="C311" s="83">
        <v>2</v>
      </c>
      <c r="D311" s="110">
        <v>0.0012314030084370953</v>
      </c>
      <c r="E311" s="110">
        <v>1.7577463133786786</v>
      </c>
      <c r="F311" s="83" t="s">
        <v>2059</v>
      </c>
      <c r="G311" s="83" t="b">
        <v>0</v>
      </c>
      <c r="H311" s="83" t="b">
        <v>0</v>
      </c>
      <c r="I311" s="83" t="b">
        <v>0</v>
      </c>
      <c r="J311" s="83" t="b">
        <v>0</v>
      </c>
      <c r="K311" s="83" t="b">
        <v>0</v>
      </c>
      <c r="L311" s="83" t="b">
        <v>0</v>
      </c>
    </row>
    <row r="312" spans="1:12" ht="15">
      <c r="A312" s="84" t="s">
        <v>1457</v>
      </c>
      <c r="B312" s="83" t="s">
        <v>1696</v>
      </c>
      <c r="C312" s="83">
        <v>2</v>
      </c>
      <c r="D312" s="110">
        <v>0.0012314030084370953</v>
      </c>
      <c r="E312" s="110">
        <v>2.2484403752876148</v>
      </c>
      <c r="F312" s="83" t="s">
        <v>2059</v>
      </c>
      <c r="G312" s="83" t="b">
        <v>0</v>
      </c>
      <c r="H312" s="83" t="b">
        <v>0</v>
      </c>
      <c r="I312" s="83" t="b">
        <v>0</v>
      </c>
      <c r="J312" s="83" t="b">
        <v>0</v>
      </c>
      <c r="K312" s="83" t="b">
        <v>0</v>
      </c>
      <c r="L312" s="83" t="b">
        <v>0</v>
      </c>
    </row>
    <row r="313" spans="1:12" ht="15">
      <c r="A313" s="84" t="s">
        <v>1696</v>
      </c>
      <c r="B313" s="83" t="s">
        <v>2042</v>
      </c>
      <c r="C313" s="83">
        <v>2</v>
      </c>
      <c r="D313" s="110">
        <v>0.0012314030084370953</v>
      </c>
      <c r="E313" s="110">
        <v>3.0935384153018717</v>
      </c>
      <c r="F313" s="83" t="s">
        <v>2059</v>
      </c>
      <c r="G313" s="83" t="b">
        <v>0</v>
      </c>
      <c r="H313" s="83" t="b">
        <v>0</v>
      </c>
      <c r="I313" s="83" t="b">
        <v>0</v>
      </c>
      <c r="J313" s="83" t="b">
        <v>0</v>
      </c>
      <c r="K313" s="83" t="b">
        <v>0</v>
      </c>
      <c r="L313" s="83" t="b">
        <v>0</v>
      </c>
    </row>
    <row r="314" spans="1:12" ht="15">
      <c r="A314" s="84" t="s">
        <v>1450</v>
      </c>
      <c r="B314" s="83" t="s">
        <v>2044</v>
      </c>
      <c r="C314" s="83">
        <v>2</v>
      </c>
      <c r="D314" s="110">
        <v>0.0012314030084370953</v>
      </c>
      <c r="E314" s="110">
        <v>2.4567163177146973</v>
      </c>
      <c r="F314" s="83" t="s">
        <v>2059</v>
      </c>
      <c r="G314" s="83" t="b">
        <v>0</v>
      </c>
      <c r="H314" s="83" t="b">
        <v>0</v>
      </c>
      <c r="I314" s="83" t="b">
        <v>0</v>
      </c>
      <c r="J314" s="83" t="b">
        <v>0</v>
      </c>
      <c r="K314" s="83" t="b">
        <v>0</v>
      </c>
      <c r="L314" s="83" t="b">
        <v>0</v>
      </c>
    </row>
    <row r="315" spans="1:12" ht="15">
      <c r="A315" s="84" t="s">
        <v>2044</v>
      </c>
      <c r="B315" s="83" t="s">
        <v>2045</v>
      </c>
      <c r="C315" s="83">
        <v>2</v>
      </c>
      <c r="D315" s="110">
        <v>0.0012314030084370953</v>
      </c>
      <c r="E315" s="110">
        <v>3.269629674357553</v>
      </c>
      <c r="F315" s="83" t="s">
        <v>2059</v>
      </c>
      <c r="G315" s="83" t="b">
        <v>0</v>
      </c>
      <c r="H315" s="83" t="b">
        <v>0</v>
      </c>
      <c r="I315" s="83" t="b">
        <v>0</v>
      </c>
      <c r="J315" s="83" t="b">
        <v>0</v>
      </c>
      <c r="K315" s="83" t="b">
        <v>0</v>
      </c>
      <c r="L315" s="83" t="b">
        <v>0</v>
      </c>
    </row>
    <row r="316" spans="1:12" ht="15">
      <c r="A316" s="84" t="s">
        <v>2045</v>
      </c>
      <c r="B316" s="83" t="s">
        <v>1558</v>
      </c>
      <c r="C316" s="83">
        <v>2</v>
      </c>
      <c r="D316" s="110">
        <v>0.0012314030084370953</v>
      </c>
      <c r="E316" s="110">
        <v>2.871689665685515</v>
      </c>
      <c r="F316" s="83" t="s">
        <v>2059</v>
      </c>
      <c r="G316" s="83" t="b">
        <v>0</v>
      </c>
      <c r="H316" s="83" t="b">
        <v>0</v>
      </c>
      <c r="I316" s="83" t="b">
        <v>0</v>
      </c>
      <c r="J316" s="83" t="b">
        <v>0</v>
      </c>
      <c r="K316" s="83" t="b">
        <v>0</v>
      </c>
      <c r="L316" s="83" t="b">
        <v>0</v>
      </c>
    </row>
    <row r="317" spans="1:12" ht="15">
      <c r="A317" s="84" t="s">
        <v>1345</v>
      </c>
      <c r="B317" s="83" t="s">
        <v>2046</v>
      </c>
      <c r="C317" s="83">
        <v>2</v>
      </c>
      <c r="D317" s="110">
        <v>0.0012314030084370953</v>
      </c>
      <c r="E317" s="110">
        <v>3.0935384153018717</v>
      </c>
      <c r="F317" s="83" t="s">
        <v>2059</v>
      </c>
      <c r="G317" s="83" t="b">
        <v>0</v>
      </c>
      <c r="H317" s="83" t="b">
        <v>0</v>
      </c>
      <c r="I317" s="83" t="b">
        <v>0</v>
      </c>
      <c r="J317" s="83" t="b">
        <v>0</v>
      </c>
      <c r="K317" s="83" t="b">
        <v>0</v>
      </c>
      <c r="L317" s="83" t="b">
        <v>0</v>
      </c>
    </row>
    <row r="318" spans="1:12" ht="15">
      <c r="A318" s="84" t="s">
        <v>2046</v>
      </c>
      <c r="B318" s="83" t="s">
        <v>2047</v>
      </c>
      <c r="C318" s="83">
        <v>2</v>
      </c>
      <c r="D318" s="110">
        <v>0.0012314030084370953</v>
      </c>
      <c r="E318" s="110">
        <v>3.269629674357553</v>
      </c>
      <c r="F318" s="83" t="s">
        <v>2059</v>
      </c>
      <c r="G318" s="83" t="b">
        <v>0</v>
      </c>
      <c r="H318" s="83" t="b">
        <v>0</v>
      </c>
      <c r="I318" s="83" t="b">
        <v>0</v>
      </c>
      <c r="J318" s="83" t="b">
        <v>0</v>
      </c>
      <c r="K318" s="83" t="b">
        <v>0</v>
      </c>
      <c r="L318" s="83" t="b">
        <v>0</v>
      </c>
    </row>
    <row r="319" spans="1:12" ht="15">
      <c r="A319" s="84" t="s">
        <v>2047</v>
      </c>
      <c r="B319" s="83" t="s">
        <v>2048</v>
      </c>
      <c r="C319" s="83">
        <v>2</v>
      </c>
      <c r="D319" s="110">
        <v>0.0012314030084370953</v>
      </c>
      <c r="E319" s="110">
        <v>3.269629674357553</v>
      </c>
      <c r="F319" s="83" t="s">
        <v>2059</v>
      </c>
      <c r="G319" s="83" t="b">
        <v>0</v>
      </c>
      <c r="H319" s="83" t="b">
        <v>0</v>
      </c>
      <c r="I319" s="83" t="b">
        <v>0</v>
      </c>
      <c r="J319" s="83" t="b">
        <v>0</v>
      </c>
      <c r="K319" s="83" t="b">
        <v>0</v>
      </c>
      <c r="L319" s="83" t="b">
        <v>0</v>
      </c>
    </row>
    <row r="320" spans="1:12" ht="15">
      <c r="A320" s="84" t="s">
        <v>2048</v>
      </c>
      <c r="B320" s="83" t="s">
        <v>1761</v>
      </c>
      <c r="C320" s="83">
        <v>2</v>
      </c>
      <c r="D320" s="110">
        <v>0.0012314030084370953</v>
      </c>
      <c r="E320" s="110">
        <v>3.0935384153018717</v>
      </c>
      <c r="F320" s="83" t="s">
        <v>2059</v>
      </c>
      <c r="G320" s="83" t="b">
        <v>0</v>
      </c>
      <c r="H320" s="83" t="b">
        <v>0</v>
      </c>
      <c r="I320" s="83" t="b">
        <v>0</v>
      </c>
      <c r="J320" s="83" t="b">
        <v>0</v>
      </c>
      <c r="K320" s="83" t="b">
        <v>0</v>
      </c>
      <c r="L320" s="83" t="b">
        <v>0</v>
      </c>
    </row>
    <row r="321" spans="1:12" ht="15">
      <c r="A321" s="84" t="s">
        <v>1761</v>
      </c>
      <c r="B321" s="83" t="s">
        <v>1428</v>
      </c>
      <c r="C321" s="83">
        <v>2</v>
      </c>
      <c r="D321" s="110">
        <v>0.0012314030084370953</v>
      </c>
      <c r="E321" s="110">
        <v>1.3338705706122411</v>
      </c>
      <c r="F321" s="83" t="s">
        <v>2059</v>
      </c>
      <c r="G321" s="83" t="b">
        <v>0</v>
      </c>
      <c r="H321" s="83" t="b">
        <v>0</v>
      </c>
      <c r="I321" s="83" t="b">
        <v>0</v>
      </c>
      <c r="J321" s="83" t="b">
        <v>0</v>
      </c>
      <c r="K321" s="83" t="b">
        <v>0</v>
      </c>
      <c r="L321" s="83" t="b">
        <v>0</v>
      </c>
    </row>
    <row r="322" spans="1:12" ht="15">
      <c r="A322" s="84" t="s">
        <v>2049</v>
      </c>
      <c r="B322" s="83" t="s">
        <v>1481</v>
      </c>
      <c r="C322" s="83">
        <v>2</v>
      </c>
      <c r="D322" s="110">
        <v>0.0012314030084370953</v>
      </c>
      <c r="E322" s="110">
        <v>2.5706596700215343</v>
      </c>
      <c r="F322" s="83" t="s">
        <v>2059</v>
      </c>
      <c r="G322" s="83" t="b">
        <v>0</v>
      </c>
      <c r="H322" s="83" t="b">
        <v>0</v>
      </c>
      <c r="I322" s="83" t="b">
        <v>0</v>
      </c>
      <c r="J322" s="83" t="b">
        <v>0</v>
      </c>
      <c r="K322" s="83" t="b">
        <v>0</v>
      </c>
      <c r="L322" s="83" t="b">
        <v>0</v>
      </c>
    </row>
    <row r="323" spans="1:12" ht="15">
      <c r="A323" s="84" t="s">
        <v>1481</v>
      </c>
      <c r="B323" s="83" t="s">
        <v>1670</v>
      </c>
      <c r="C323" s="83">
        <v>2</v>
      </c>
      <c r="D323" s="110">
        <v>0.0012314030084370953</v>
      </c>
      <c r="E323" s="110">
        <v>2.394568410965853</v>
      </c>
      <c r="F323" s="83" t="s">
        <v>2059</v>
      </c>
      <c r="G323" s="83" t="b">
        <v>0</v>
      </c>
      <c r="H323" s="83" t="b">
        <v>0</v>
      </c>
      <c r="I323" s="83" t="b">
        <v>0</v>
      </c>
      <c r="J323" s="83" t="b">
        <v>0</v>
      </c>
      <c r="K323" s="83" t="b">
        <v>0</v>
      </c>
      <c r="L323" s="83" t="b">
        <v>0</v>
      </c>
    </row>
    <row r="324" spans="1:12" ht="15">
      <c r="A324" s="84" t="s">
        <v>1670</v>
      </c>
      <c r="B324" s="83" t="s">
        <v>2050</v>
      </c>
      <c r="C324" s="83">
        <v>2</v>
      </c>
      <c r="D324" s="110">
        <v>0.0012314030084370953</v>
      </c>
      <c r="E324" s="110">
        <v>3.0935384153018717</v>
      </c>
      <c r="F324" s="83" t="s">
        <v>2059</v>
      </c>
      <c r="G324" s="83" t="b">
        <v>0</v>
      </c>
      <c r="H324" s="83" t="b">
        <v>0</v>
      </c>
      <c r="I324" s="83" t="b">
        <v>0</v>
      </c>
      <c r="J324" s="83" t="b">
        <v>0</v>
      </c>
      <c r="K324" s="83" t="b">
        <v>0</v>
      </c>
      <c r="L324" s="83" t="b">
        <v>0</v>
      </c>
    </row>
    <row r="325" spans="1:12" ht="15">
      <c r="A325" s="84" t="s">
        <v>2050</v>
      </c>
      <c r="B325" s="83" t="s">
        <v>2051</v>
      </c>
      <c r="C325" s="83">
        <v>2</v>
      </c>
      <c r="D325" s="110">
        <v>0.0012314030084370953</v>
      </c>
      <c r="E325" s="110">
        <v>3.269629674357553</v>
      </c>
      <c r="F325" s="83" t="s">
        <v>2059</v>
      </c>
      <c r="G325" s="83" t="b">
        <v>0</v>
      </c>
      <c r="H325" s="83" t="b">
        <v>0</v>
      </c>
      <c r="I325" s="83" t="b">
        <v>0</v>
      </c>
      <c r="J325" s="83" t="b">
        <v>0</v>
      </c>
      <c r="K325" s="83" t="b">
        <v>0</v>
      </c>
      <c r="L325" s="83" t="b">
        <v>0</v>
      </c>
    </row>
    <row r="326" spans="1:12" ht="15">
      <c r="A326" s="84" t="s">
        <v>2051</v>
      </c>
      <c r="B326" s="83" t="s">
        <v>1544</v>
      </c>
      <c r="C326" s="83">
        <v>2</v>
      </c>
      <c r="D326" s="110">
        <v>0.0012314030084370953</v>
      </c>
      <c r="E326" s="110">
        <v>2.7925084196378904</v>
      </c>
      <c r="F326" s="83" t="s">
        <v>2059</v>
      </c>
      <c r="G326" s="83" t="b">
        <v>0</v>
      </c>
      <c r="H326" s="83" t="b">
        <v>0</v>
      </c>
      <c r="I326" s="83" t="b">
        <v>0</v>
      </c>
      <c r="J326" s="83" t="b">
        <v>0</v>
      </c>
      <c r="K326" s="83" t="b">
        <v>0</v>
      </c>
      <c r="L326" s="83" t="b">
        <v>0</v>
      </c>
    </row>
    <row r="327" spans="1:12" ht="15">
      <c r="A327" s="84" t="s">
        <v>1507</v>
      </c>
      <c r="B327" s="83" t="s">
        <v>1429</v>
      </c>
      <c r="C327" s="83">
        <v>2</v>
      </c>
      <c r="D327" s="110">
        <v>0.0012314030084370953</v>
      </c>
      <c r="E327" s="110">
        <v>1.2051716851306344</v>
      </c>
      <c r="F327" s="83" t="s">
        <v>2059</v>
      </c>
      <c r="G327" s="83" t="b">
        <v>0</v>
      </c>
      <c r="H327" s="83" t="b">
        <v>0</v>
      </c>
      <c r="I327" s="83" t="b">
        <v>0</v>
      </c>
      <c r="J327" s="83" t="b">
        <v>0</v>
      </c>
      <c r="K327" s="83" t="b">
        <v>0</v>
      </c>
      <c r="L327" s="83" t="b">
        <v>0</v>
      </c>
    </row>
    <row r="328" spans="1:12" ht="15">
      <c r="A328" s="84" t="s">
        <v>1436</v>
      </c>
      <c r="B328" s="83" t="s">
        <v>1611</v>
      </c>
      <c r="C328" s="83">
        <v>2</v>
      </c>
      <c r="D328" s="110">
        <v>0.0012314030084370953</v>
      </c>
      <c r="E328" s="110">
        <v>1.8224716430153336</v>
      </c>
      <c r="F328" s="83" t="s">
        <v>2059</v>
      </c>
      <c r="G328" s="83" t="b">
        <v>0</v>
      </c>
      <c r="H328" s="83" t="b">
        <v>0</v>
      </c>
      <c r="I328" s="83" t="b">
        <v>0</v>
      </c>
      <c r="J328" s="83" t="b">
        <v>0</v>
      </c>
      <c r="K328" s="83" t="b">
        <v>0</v>
      </c>
      <c r="L328" s="83" t="b">
        <v>0</v>
      </c>
    </row>
    <row r="329" spans="1:12" ht="15">
      <c r="A329" s="84" t="s">
        <v>1433</v>
      </c>
      <c r="B329" s="83" t="s">
        <v>1435</v>
      </c>
      <c r="C329" s="83">
        <v>11</v>
      </c>
      <c r="D329" s="110">
        <v>0.005948099695875075</v>
      </c>
      <c r="E329" s="110">
        <v>1.640848558953068</v>
      </c>
      <c r="F329" s="83" t="s">
        <v>1378</v>
      </c>
      <c r="G329" s="83" t="b">
        <v>0</v>
      </c>
      <c r="H329" s="83" t="b">
        <v>0</v>
      </c>
      <c r="I329" s="83" t="b">
        <v>0</v>
      </c>
      <c r="J329" s="83" t="b">
        <v>0</v>
      </c>
      <c r="K329" s="83" t="b">
        <v>0</v>
      </c>
      <c r="L329" s="83" t="b">
        <v>0</v>
      </c>
    </row>
    <row r="330" spans="1:12" ht="15">
      <c r="A330" s="84" t="s">
        <v>1460</v>
      </c>
      <c r="B330" s="83" t="s">
        <v>1451</v>
      </c>
      <c r="C330" s="83">
        <v>8</v>
      </c>
      <c r="D330" s="110">
        <v>0.006126434515082353</v>
      </c>
      <c r="E330" s="110">
        <v>2.1239110073101353</v>
      </c>
      <c r="F330" s="83" t="s">
        <v>1378</v>
      </c>
      <c r="G330" s="83" t="b">
        <v>0</v>
      </c>
      <c r="H330" s="83" t="b">
        <v>0</v>
      </c>
      <c r="I330" s="83" t="b">
        <v>0</v>
      </c>
      <c r="J330" s="83" t="b">
        <v>0</v>
      </c>
      <c r="K330" s="83" t="b">
        <v>0</v>
      </c>
      <c r="L330" s="83" t="b">
        <v>0</v>
      </c>
    </row>
    <row r="331" spans="1:12" ht="15">
      <c r="A331" s="84" t="s">
        <v>1431</v>
      </c>
      <c r="B331" s="83" t="s">
        <v>1442</v>
      </c>
      <c r="C331" s="83">
        <v>7</v>
      </c>
      <c r="D331" s="110">
        <v>0.005013104539295217</v>
      </c>
      <c r="E331" s="110">
        <v>1.5462103618416179</v>
      </c>
      <c r="F331" s="83" t="s">
        <v>1378</v>
      </c>
      <c r="G331" s="83" t="b">
        <v>0</v>
      </c>
      <c r="H331" s="83" t="b">
        <v>0</v>
      </c>
      <c r="I331" s="83" t="b">
        <v>0</v>
      </c>
      <c r="J331" s="83" t="b">
        <v>0</v>
      </c>
      <c r="K331" s="83" t="b">
        <v>0</v>
      </c>
      <c r="L331" s="83" t="b">
        <v>0</v>
      </c>
    </row>
    <row r="332" spans="1:12" ht="15">
      <c r="A332" s="84" t="s">
        <v>1504</v>
      </c>
      <c r="B332" s="83" t="s">
        <v>1446</v>
      </c>
      <c r="C332" s="83">
        <v>6</v>
      </c>
      <c r="D332" s="110">
        <v>0.004978858888181539</v>
      </c>
      <c r="E332" s="110">
        <v>2.183032459428792</v>
      </c>
      <c r="F332" s="83" t="s">
        <v>1378</v>
      </c>
      <c r="G332" s="83" t="b">
        <v>0</v>
      </c>
      <c r="H332" s="83" t="b">
        <v>0</v>
      </c>
      <c r="I332" s="83" t="b">
        <v>0</v>
      </c>
      <c r="J332" s="83" t="b">
        <v>0</v>
      </c>
      <c r="K332" s="83" t="b">
        <v>0</v>
      </c>
      <c r="L332" s="83" t="b">
        <v>0</v>
      </c>
    </row>
    <row r="333" spans="1:12" ht="15">
      <c r="A333" s="84" t="s">
        <v>1479</v>
      </c>
      <c r="B333" s="83" t="s">
        <v>1446</v>
      </c>
      <c r="C333" s="83">
        <v>6</v>
      </c>
      <c r="D333" s="110">
        <v>0.004978858888181539</v>
      </c>
      <c r="E333" s="110">
        <v>2.183032459428792</v>
      </c>
      <c r="F333" s="83" t="s">
        <v>1378</v>
      </c>
      <c r="G333" s="83" t="b">
        <v>0</v>
      </c>
      <c r="H333" s="83" t="b">
        <v>0</v>
      </c>
      <c r="I333" s="83" t="b">
        <v>0</v>
      </c>
      <c r="J333" s="83" t="b">
        <v>0</v>
      </c>
      <c r="K333" s="83" t="b">
        <v>0</v>
      </c>
      <c r="L333" s="83" t="b">
        <v>0</v>
      </c>
    </row>
    <row r="334" spans="1:12" ht="15">
      <c r="A334" s="84" t="s">
        <v>1446</v>
      </c>
      <c r="B334" s="83" t="s">
        <v>1480</v>
      </c>
      <c r="C334" s="83">
        <v>6</v>
      </c>
      <c r="D334" s="110">
        <v>0.004978858888181539</v>
      </c>
      <c r="E334" s="110">
        <v>2.183032459428792</v>
      </c>
      <c r="F334" s="83" t="s">
        <v>1378</v>
      </c>
      <c r="G334" s="83" t="b">
        <v>0</v>
      </c>
      <c r="H334" s="83" t="b">
        <v>0</v>
      </c>
      <c r="I334" s="83" t="b">
        <v>0</v>
      </c>
      <c r="J334" s="83" t="b">
        <v>0</v>
      </c>
      <c r="K334" s="83" t="b">
        <v>0</v>
      </c>
      <c r="L334" s="83" t="b">
        <v>0</v>
      </c>
    </row>
    <row r="335" spans="1:12" ht="15">
      <c r="A335" s="84" t="s">
        <v>1502</v>
      </c>
      <c r="B335" s="83" t="s">
        <v>1536</v>
      </c>
      <c r="C335" s="83">
        <v>6</v>
      </c>
      <c r="D335" s="110">
        <v>0.004053561770361924</v>
      </c>
      <c r="E335" s="110">
        <v>2.3591237184844736</v>
      </c>
      <c r="F335" s="83" t="s">
        <v>1378</v>
      </c>
      <c r="G335" s="83" t="b">
        <v>0</v>
      </c>
      <c r="H335" s="83" t="b">
        <v>0</v>
      </c>
      <c r="I335" s="83" t="b">
        <v>0</v>
      </c>
      <c r="J335" s="83" t="b">
        <v>0</v>
      </c>
      <c r="K335" s="83" t="b">
        <v>0</v>
      </c>
      <c r="L335" s="83" t="b">
        <v>0</v>
      </c>
    </row>
    <row r="336" spans="1:12" ht="15">
      <c r="A336" s="84" t="s">
        <v>1455</v>
      </c>
      <c r="B336" s="83" t="s">
        <v>1431</v>
      </c>
      <c r="C336" s="83">
        <v>5</v>
      </c>
      <c r="D336" s="110">
        <v>0.00382902157192647</v>
      </c>
      <c r="E336" s="110">
        <v>1.5140256784702166</v>
      </c>
      <c r="F336" s="83" t="s">
        <v>1378</v>
      </c>
      <c r="G336" s="83" t="b">
        <v>0</v>
      </c>
      <c r="H336" s="83" t="b">
        <v>0</v>
      </c>
      <c r="I336" s="83" t="b">
        <v>0</v>
      </c>
      <c r="J336" s="83" t="b">
        <v>0</v>
      </c>
      <c r="K336" s="83" t="b">
        <v>0</v>
      </c>
      <c r="L336" s="83" t="b">
        <v>0</v>
      </c>
    </row>
    <row r="337" spans="1:12" ht="15">
      <c r="A337" s="84" t="s">
        <v>1430</v>
      </c>
      <c r="B337" s="83" t="s">
        <v>1521</v>
      </c>
      <c r="C337" s="83">
        <v>5</v>
      </c>
      <c r="D337" s="110">
        <v>0.00382902157192647</v>
      </c>
      <c r="E337" s="110">
        <v>1.5140256784702166</v>
      </c>
      <c r="F337" s="83" t="s">
        <v>1378</v>
      </c>
      <c r="G337" s="83" t="b">
        <v>0</v>
      </c>
      <c r="H337" s="83" t="b">
        <v>0</v>
      </c>
      <c r="I337" s="83" t="b">
        <v>0</v>
      </c>
      <c r="J337" s="83" t="b">
        <v>0</v>
      </c>
      <c r="K337" s="83" t="b">
        <v>0</v>
      </c>
      <c r="L337" s="83" t="b">
        <v>0</v>
      </c>
    </row>
    <row r="338" spans="1:12" ht="15">
      <c r="A338" s="84" t="s">
        <v>1485</v>
      </c>
      <c r="B338" s="83" t="s">
        <v>1435</v>
      </c>
      <c r="C338" s="83">
        <v>5</v>
      </c>
      <c r="D338" s="110">
        <v>0.0035807889566394405</v>
      </c>
      <c r="E338" s="110">
        <v>1.9611837098124356</v>
      </c>
      <c r="F338" s="83" t="s">
        <v>1378</v>
      </c>
      <c r="G338" s="83" t="b">
        <v>0</v>
      </c>
      <c r="H338" s="83" t="b">
        <v>0</v>
      </c>
      <c r="I338" s="83" t="b">
        <v>0</v>
      </c>
      <c r="J338" s="83" t="b">
        <v>0</v>
      </c>
      <c r="K338" s="83" t="b">
        <v>0</v>
      </c>
      <c r="L338" s="83" t="b">
        <v>0</v>
      </c>
    </row>
    <row r="339" spans="1:12" ht="15">
      <c r="A339" s="84" t="s">
        <v>1441</v>
      </c>
      <c r="B339" s="83" t="s">
        <v>1488</v>
      </c>
      <c r="C339" s="83">
        <v>5</v>
      </c>
      <c r="D339" s="110">
        <v>0.004149049073484615</v>
      </c>
      <c r="E339" s="110">
        <v>2.220821020318192</v>
      </c>
      <c r="F339" s="83" t="s">
        <v>1378</v>
      </c>
      <c r="G339" s="83" t="b">
        <v>0</v>
      </c>
      <c r="H339" s="83" t="b">
        <v>0</v>
      </c>
      <c r="I339" s="83" t="b">
        <v>0</v>
      </c>
      <c r="J339" s="83" t="b">
        <v>0</v>
      </c>
      <c r="K339" s="83" t="b">
        <v>0</v>
      </c>
      <c r="L339" s="83" t="b">
        <v>0</v>
      </c>
    </row>
    <row r="340" spans="1:12" ht="15">
      <c r="A340" s="84" t="s">
        <v>1446</v>
      </c>
      <c r="B340" s="83" t="s">
        <v>1428</v>
      </c>
      <c r="C340" s="83">
        <v>4</v>
      </c>
      <c r="D340" s="110">
        <v>0.003680082002754253</v>
      </c>
      <c r="E340" s="110">
        <v>0.9655485152148856</v>
      </c>
      <c r="F340" s="83" t="s">
        <v>1378</v>
      </c>
      <c r="G340" s="83" t="b">
        <v>0</v>
      </c>
      <c r="H340" s="83" t="b">
        <v>0</v>
      </c>
      <c r="I340" s="83" t="b">
        <v>0</v>
      </c>
      <c r="J340" s="83" t="b">
        <v>0</v>
      </c>
      <c r="K340" s="83" t="b">
        <v>0</v>
      </c>
      <c r="L340" s="83" t="b">
        <v>0</v>
      </c>
    </row>
    <row r="341" spans="1:12" ht="15">
      <c r="A341" s="84" t="s">
        <v>1428</v>
      </c>
      <c r="B341" s="83" t="s">
        <v>1577</v>
      </c>
      <c r="C341" s="83">
        <v>4</v>
      </c>
      <c r="D341" s="110">
        <v>0.003680082002754253</v>
      </c>
      <c r="E341" s="110">
        <v>1.3591237184844733</v>
      </c>
      <c r="F341" s="83" t="s">
        <v>1378</v>
      </c>
      <c r="G341" s="83" t="b">
        <v>0</v>
      </c>
      <c r="H341" s="83" t="b">
        <v>0</v>
      </c>
      <c r="I341" s="83" t="b">
        <v>0</v>
      </c>
      <c r="J341" s="83" t="b">
        <v>0</v>
      </c>
      <c r="K341" s="83" t="b">
        <v>0</v>
      </c>
      <c r="L341" s="83" t="b">
        <v>0</v>
      </c>
    </row>
    <row r="342" spans="1:12" ht="15">
      <c r="A342" s="84" t="s">
        <v>1458</v>
      </c>
      <c r="B342" s="83" t="s">
        <v>1450</v>
      </c>
      <c r="C342" s="83">
        <v>4</v>
      </c>
      <c r="D342" s="110">
        <v>0.0030632172575411763</v>
      </c>
      <c r="E342" s="110">
        <v>2.1318799369814108</v>
      </c>
      <c r="F342" s="83" t="s">
        <v>1378</v>
      </c>
      <c r="G342" s="83" t="b">
        <v>1</v>
      </c>
      <c r="H342" s="83" t="b">
        <v>0</v>
      </c>
      <c r="I342" s="83" t="b">
        <v>0</v>
      </c>
      <c r="J342" s="83" t="b">
        <v>0</v>
      </c>
      <c r="K342" s="83" t="b">
        <v>0</v>
      </c>
      <c r="L342" s="83" t="b">
        <v>0</v>
      </c>
    </row>
    <row r="343" spans="1:12" ht="15">
      <c r="A343" s="84" t="s">
        <v>1455</v>
      </c>
      <c r="B343" s="83" t="s">
        <v>1508</v>
      </c>
      <c r="C343" s="83">
        <v>4</v>
      </c>
      <c r="D343" s="110">
        <v>0.003680082002754253</v>
      </c>
      <c r="E343" s="110">
        <v>2.1653036924683606</v>
      </c>
      <c r="F343" s="83" t="s">
        <v>1378</v>
      </c>
      <c r="G343" s="83" t="b">
        <v>0</v>
      </c>
      <c r="H343" s="83" t="b">
        <v>0</v>
      </c>
      <c r="I343" s="83" t="b">
        <v>0</v>
      </c>
      <c r="J343" s="83" t="b">
        <v>0</v>
      </c>
      <c r="K343" s="83" t="b">
        <v>0</v>
      </c>
      <c r="L343" s="83" t="b">
        <v>0</v>
      </c>
    </row>
    <row r="344" spans="1:12" ht="15">
      <c r="A344" s="84" t="s">
        <v>1480</v>
      </c>
      <c r="B344" s="83" t="s">
        <v>1538</v>
      </c>
      <c r="C344" s="83">
        <v>4</v>
      </c>
      <c r="D344" s="110">
        <v>0.003680082002754253</v>
      </c>
      <c r="E344" s="110">
        <v>2.4840624550927735</v>
      </c>
      <c r="F344" s="83" t="s">
        <v>1378</v>
      </c>
      <c r="G344" s="83" t="b">
        <v>0</v>
      </c>
      <c r="H344" s="83" t="b">
        <v>0</v>
      </c>
      <c r="I344" s="83" t="b">
        <v>0</v>
      </c>
      <c r="J344" s="83" t="b">
        <v>0</v>
      </c>
      <c r="K344" s="83" t="b">
        <v>0</v>
      </c>
      <c r="L344" s="83" t="b">
        <v>0</v>
      </c>
    </row>
    <row r="345" spans="1:12" ht="15">
      <c r="A345" s="84" t="s">
        <v>1444</v>
      </c>
      <c r="B345" s="83" t="s">
        <v>1453</v>
      </c>
      <c r="C345" s="83">
        <v>4</v>
      </c>
      <c r="D345" s="110">
        <v>0.003680082002754253</v>
      </c>
      <c r="E345" s="110">
        <v>2.41711566546216</v>
      </c>
      <c r="F345" s="83" t="s">
        <v>1378</v>
      </c>
      <c r="G345" s="83" t="b">
        <v>0</v>
      </c>
      <c r="H345" s="83" t="b">
        <v>0</v>
      </c>
      <c r="I345" s="83" t="b">
        <v>0</v>
      </c>
      <c r="J345" s="83" t="b">
        <v>0</v>
      </c>
      <c r="K345" s="83" t="b">
        <v>0</v>
      </c>
      <c r="L345" s="83" t="b">
        <v>0</v>
      </c>
    </row>
    <row r="346" spans="1:12" ht="15">
      <c r="A346" s="84" t="s">
        <v>1578</v>
      </c>
      <c r="B346" s="83" t="s">
        <v>1432</v>
      </c>
      <c r="C346" s="83">
        <v>4</v>
      </c>
      <c r="D346" s="110">
        <v>0.003680082002754253</v>
      </c>
      <c r="E346" s="110">
        <v>1.8865500915155313</v>
      </c>
      <c r="F346" s="83" t="s">
        <v>1378</v>
      </c>
      <c r="G346" s="83" t="b">
        <v>0</v>
      </c>
      <c r="H346" s="83" t="b">
        <v>0</v>
      </c>
      <c r="I346" s="83" t="b">
        <v>0</v>
      </c>
      <c r="J346" s="83" t="b">
        <v>0</v>
      </c>
      <c r="K346" s="83" t="b">
        <v>0</v>
      </c>
      <c r="L346" s="83" t="b">
        <v>0</v>
      </c>
    </row>
    <row r="347" spans="1:12" ht="15">
      <c r="A347" s="84" t="s">
        <v>1430</v>
      </c>
      <c r="B347" s="83" t="s">
        <v>1429</v>
      </c>
      <c r="C347" s="83">
        <v>3</v>
      </c>
      <c r="D347" s="110">
        <v>0.0024894294440907694</v>
      </c>
      <c r="E347" s="110">
        <v>0.5352149775401546</v>
      </c>
      <c r="F347" s="83" t="s">
        <v>1378</v>
      </c>
      <c r="G347" s="83" t="b">
        <v>0</v>
      </c>
      <c r="H347" s="83" t="b">
        <v>0</v>
      </c>
      <c r="I347" s="83" t="b">
        <v>0</v>
      </c>
      <c r="J347" s="83" t="b">
        <v>0</v>
      </c>
      <c r="K347" s="83" t="b">
        <v>0</v>
      </c>
      <c r="L347" s="83" t="b">
        <v>0</v>
      </c>
    </row>
    <row r="348" spans="1:12" ht="15">
      <c r="A348" s="84" t="s">
        <v>1755</v>
      </c>
      <c r="B348" s="83" t="s">
        <v>1458</v>
      </c>
      <c r="C348" s="83">
        <v>3</v>
      </c>
      <c r="D348" s="110">
        <v>0.0024894294440907694</v>
      </c>
      <c r="E348" s="110">
        <v>2.3591237184844736</v>
      </c>
      <c r="F348" s="83" t="s">
        <v>1378</v>
      </c>
      <c r="G348" s="83" t="b">
        <v>0</v>
      </c>
      <c r="H348" s="83" t="b">
        <v>0</v>
      </c>
      <c r="I348" s="83" t="b">
        <v>0</v>
      </c>
      <c r="J348" s="83" t="b">
        <v>1</v>
      </c>
      <c r="K348" s="83" t="b">
        <v>0</v>
      </c>
      <c r="L348" s="83" t="b">
        <v>0</v>
      </c>
    </row>
    <row r="349" spans="1:12" ht="15">
      <c r="A349" s="84" t="s">
        <v>1440</v>
      </c>
      <c r="B349" s="83" t="s">
        <v>1430</v>
      </c>
      <c r="C349" s="83">
        <v>3</v>
      </c>
      <c r="D349" s="110">
        <v>0.0027600615020656892</v>
      </c>
      <c r="E349" s="110">
        <v>1.036904423750554</v>
      </c>
      <c r="F349" s="83" t="s">
        <v>1378</v>
      </c>
      <c r="G349" s="83" t="b">
        <v>1</v>
      </c>
      <c r="H349" s="83" t="b">
        <v>0</v>
      </c>
      <c r="I349" s="83" t="b">
        <v>0</v>
      </c>
      <c r="J349" s="83" t="b">
        <v>0</v>
      </c>
      <c r="K349" s="83" t="b">
        <v>0</v>
      </c>
      <c r="L349" s="83" t="b">
        <v>0</v>
      </c>
    </row>
    <row r="350" spans="1:12" ht="15">
      <c r="A350" s="84" t="s">
        <v>1435</v>
      </c>
      <c r="B350" s="83" t="s">
        <v>1557</v>
      </c>
      <c r="C350" s="83">
        <v>3</v>
      </c>
      <c r="D350" s="110">
        <v>0.0024894294440907694</v>
      </c>
      <c r="E350" s="110">
        <v>1.6786371198424677</v>
      </c>
      <c r="F350" s="83" t="s">
        <v>1378</v>
      </c>
      <c r="G350" s="83" t="b">
        <v>0</v>
      </c>
      <c r="H350" s="83" t="b">
        <v>0</v>
      </c>
      <c r="I350" s="83" t="b">
        <v>0</v>
      </c>
      <c r="J350" s="83" t="b">
        <v>0</v>
      </c>
      <c r="K350" s="83" t="b">
        <v>0</v>
      </c>
      <c r="L350" s="83" t="b">
        <v>0</v>
      </c>
    </row>
    <row r="351" spans="1:12" ht="15">
      <c r="A351" s="84" t="s">
        <v>1463</v>
      </c>
      <c r="B351" s="83" t="s">
        <v>1547</v>
      </c>
      <c r="C351" s="83">
        <v>3</v>
      </c>
      <c r="D351" s="110">
        <v>0.0024894294440907694</v>
      </c>
      <c r="E351" s="110">
        <v>2.307971196037092</v>
      </c>
      <c r="F351" s="83" t="s">
        <v>1378</v>
      </c>
      <c r="G351" s="83" t="b">
        <v>0</v>
      </c>
      <c r="H351" s="83" t="b">
        <v>0</v>
      </c>
      <c r="I351" s="83" t="b">
        <v>0</v>
      </c>
      <c r="J351" s="83" t="b">
        <v>0</v>
      </c>
      <c r="K351" s="83" t="b">
        <v>0</v>
      </c>
      <c r="L351" s="83" t="b">
        <v>0</v>
      </c>
    </row>
    <row r="352" spans="1:12" ht="15">
      <c r="A352" s="84" t="s">
        <v>1735</v>
      </c>
      <c r="B352" s="83" t="s">
        <v>1736</v>
      </c>
      <c r="C352" s="83">
        <v>3</v>
      </c>
      <c r="D352" s="110">
        <v>0.0024894294440907694</v>
      </c>
      <c r="E352" s="110">
        <v>2.7850924507567543</v>
      </c>
      <c r="F352" s="83" t="s">
        <v>1378</v>
      </c>
      <c r="G352" s="83" t="b">
        <v>0</v>
      </c>
      <c r="H352" s="83" t="b">
        <v>0</v>
      </c>
      <c r="I352" s="83" t="b">
        <v>0</v>
      </c>
      <c r="J352" s="83" t="b">
        <v>0</v>
      </c>
      <c r="K352" s="83" t="b">
        <v>0</v>
      </c>
      <c r="L352" s="83" t="b">
        <v>0</v>
      </c>
    </row>
    <row r="353" spans="1:12" ht="15">
      <c r="A353" s="84" t="s">
        <v>1736</v>
      </c>
      <c r="B353" s="83" t="s">
        <v>1737</v>
      </c>
      <c r="C353" s="83">
        <v>3</v>
      </c>
      <c r="D353" s="110">
        <v>0.0024894294440907694</v>
      </c>
      <c r="E353" s="110">
        <v>2.7850924507567543</v>
      </c>
      <c r="F353" s="83" t="s">
        <v>1378</v>
      </c>
      <c r="G353" s="83" t="b">
        <v>0</v>
      </c>
      <c r="H353" s="83" t="b">
        <v>0</v>
      </c>
      <c r="I353" s="83" t="b">
        <v>0</v>
      </c>
      <c r="J353" s="83" t="b">
        <v>0</v>
      </c>
      <c r="K353" s="83" t="b">
        <v>0</v>
      </c>
      <c r="L353" s="83" t="b">
        <v>0</v>
      </c>
    </row>
    <row r="354" spans="1:12" ht="15">
      <c r="A354" s="84" t="s">
        <v>1457</v>
      </c>
      <c r="B354" s="83" t="s">
        <v>1548</v>
      </c>
      <c r="C354" s="83">
        <v>3</v>
      </c>
      <c r="D354" s="110">
        <v>0.003222710060975496</v>
      </c>
      <c r="E354" s="110">
        <v>2.262213705476417</v>
      </c>
      <c r="F354" s="83" t="s">
        <v>1378</v>
      </c>
      <c r="G354" s="83" t="b">
        <v>0</v>
      </c>
      <c r="H354" s="83" t="b">
        <v>0</v>
      </c>
      <c r="I354" s="83" t="b">
        <v>0</v>
      </c>
      <c r="J354" s="83" t="b">
        <v>0</v>
      </c>
      <c r="K354" s="83" t="b">
        <v>0</v>
      </c>
      <c r="L354" s="83" t="b">
        <v>0</v>
      </c>
    </row>
    <row r="355" spans="1:12" ht="15">
      <c r="A355" s="84" t="s">
        <v>1431</v>
      </c>
      <c r="B355" s="83" t="s">
        <v>1429</v>
      </c>
      <c r="C355" s="83">
        <v>3</v>
      </c>
      <c r="D355" s="110">
        <v>0.0024894294440907694</v>
      </c>
      <c r="E355" s="110">
        <v>0.722301620897299</v>
      </c>
      <c r="F355" s="83" t="s">
        <v>1378</v>
      </c>
      <c r="G355" s="83" t="b">
        <v>0</v>
      </c>
      <c r="H355" s="83" t="b">
        <v>0</v>
      </c>
      <c r="I355" s="83" t="b">
        <v>0</v>
      </c>
      <c r="J355" s="83" t="b">
        <v>0</v>
      </c>
      <c r="K355" s="83" t="b">
        <v>0</v>
      </c>
      <c r="L355" s="83" t="b">
        <v>0</v>
      </c>
    </row>
    <row r="356" spans="1:12" ht="15">
      <c r="A356" s="84" t="s">
        <v>1719</v>
      </c>
      <c r="B356" s="83" t="s">
        <v>1455</v>
      </c>
      <c r="C356" s="83">
        <v>3</v>
      </c>
      <c r="D356" s="110">
        <v>0.003222710060975496</v>
      </c>
      <c r="E356" s="110">
        <v>2.262213705476417</v>
      </c>
      <c r="F356" s="83" t="s">
        <v>1378</v>
      </c>
      <c r="G356" s="83" t="b">
        <v>0</v>
      </c>
      <c r="H356" s="83" t="b">
        <v>0</v>
      </c>
      <c r="I356" s="83" t="b">
        <v>0</v>
      </c>
      <c r="J356" s="83" t="b">
        <v>0</v>
      </c>
      <c r="K356" s="83" t="b">
        <v>0</v>
      </c>
      <c r="L356" s="83" t="b">
        <v>0</v>
      </c>
    </row>
    <row r="357" spans="1:12" ht="15">
      <c r="A357" s="84" t="s">
        <v>1508</v>
      </c>
      <c r="B357" s="83" t="s">
        <v>1539</v>
      </c>
      <c r="C357" s="83">
        <v>3</v>
      </c>
      <c r="D357" s="110">
        <v>0.003222710060975496</v>
      </c>
      <c r="E357" s="110">
        <v>2.438304964532098</v>
      </c>
      <c r="F357" s="83" t="s">
        <v>1378</v>
      </c>
      <c r="G357" s="83" t="b">
        <v>0</v>
      </c>
      <c r="H357" s="83" t="b">
        <v>0</v>
      </c>
      <c r="I357" s="83" t="b">
        <v>0</v>
      </c>
      <c r="J357" s="83" t="b">
        <v>0</v>
      </c>
      <c r="K357" s="83" t="b">
        <v>0</v>
      </c>
      <c r="L357" s="83" t="b">
        <v>0</v>
      </c>
    </row>
    <row r="358" spans="1:12" ht="15">
      <c r="A358" s="84" t="s">
        <v>1539</v>
      </c>
      <c r="B358" s="83" t="s">
        <v>1428</v>
      </c>
      <c r="C358" s="83">
        <v>3</v>
      </c>
      <c r="D358" s="110">
        <v>0.003222710060975496</v>
      </c>
      <c r="E358" s="110">
        <v>1.442669769934548</v>
      </c>
      <c r="F358" s="83" t="s">
        <v>1378</v>
      </c>
      <c r="G358" s="83" t="b">
        <v>0</v>
      </c>
      <c r="H358" s="83" t="b">
        <v>0</v>
      </c>
      <c r="I358" s="83" t="b">
        <v>0</v>
      </c>
      <c r="J358" s="83" t="b">
        <v>0</v>
      </c>
      <c r="K358" s="83" t="b">
        <v>0</v>
      </c>
      <c r="L358" s="83" t="b">
        <v>0</v>
      </c>
    </row>
    <row r="359" spans="1:12" ht="15">
      <c r="A359" s="84" t="s">
        <v>1452</v>
      </c>
      <c r="B359" s="83" t="s">
        <v>1428</v>
      </c>
      <c r="C359" s="83">
        <v>3</v>
      </c>
      <c r="D359" s="110">
        <v>0.0027600615020656892</v>
      </c>
      <c r="E359" s="110">
        <v>0.9655485152148856</v>
      </c>
      <c r="F359" s="83" t="s">
        <v>1378</v>
      </c>
      <c r="G359" s="83" t="b">
        <v>0</v>
      </c>
      <c r="H359" s="83" t="b">
        <v>0</v>
      </c>
      <c r="I359" s="83" t="b">
        <v>0</v>
      </c>
      <c r="J359" s="83" t="b">
        <v>0</v>
      </c>
      <c r="K359" s="83" t="b">
        <v>0</v>
      </c>
      <c r="L359" s="83" t="b">
        <v>0</v>
      </c>
    </row>
    <row r="360" spans="1:12" ht="15">
      <c r="A360" s="84" t="s">
        <v>1430</v>
      </c>
      <c r="B360" s="83" t="s">
        <v>1500</v>
      </c>
      <c r="C360" s="83">
        <v>3</v>
      </c>
      <c r="D360" s="110">
        <v>0.0024894294440907694</v>
      </c>
      <c r="E360" s="110">
        <v>1.3591237184844733</v>
      </c>
      <c r="F360" s="83" t="s">
        <v>1378</v>
      </c>
      <c r="G360" s="83" t="b">
        <v>0</v>
      </c>
      <c r="H360" s="83" t="b">
        <v>0</v>
      </c>
      <c r="I360" s="83" t="b">
        <v>0</v>
      </c>
      <c r="J360" s="83" t="b">
        <v>0</v>
      </c>
      <c r="K360" s="83" t="b">
        <v>0</v>
      </c>
      <c r="L360" s="83" t="b">
        <v>0</v>
      </c>
    </row>
    <row r="361" spans="1:12" ht="15">
      <c r="A361" s="84" t="s">
        <v>1428</v>
      </c>
      <c r="B361" s="83" t="s">
        <v>1430</v>
      </c>
      <c r="C361" s="83">
        <v>3</v>
      </c>
      <c r="D361" s="110">
        <v>0.0024894294440907694</v>
      </c>
      <c r="E361" s="110">
        <v>0.30990569581429167</v>
      </c>
      <c r="F361" s="83" t="s">
        <v>1378</v>
      </c>
      <c r="G361" s="83" t="b">
        <v>0</v>
      </c>
      <c r="H361" s="83" t="b">
        <v>0</v>
      </c>
      <c r="I361" s="83" t="b">
        <v>0</v>
      </c>
      <c r="J361" s="83" t="b">
        <v>0</v>
      </c>
      <c r="K361" s="83" t="b">
        <v>0</v>
      </c>
      <c r="L361" s="83" t="b">
        <v>0</v>
      </c>
    </row>
    <row r="362" spans="1:12" ht="15">
      <c r="A362" s="84" t="s">
        <v>1571</v>
      </c>
      <c r="B362" s="83" t="s">
        <v>1460</v>
      </c>
      <c r="C362" s="83">
        <v>3</v>
      </c>
      <c r="D362" s="110">
        <v>0.003222710060975496</v>
      </c>
      <c r="E362" s="110">
        <v>2.0403649558600607</v>
      </c>
      <c r="F362" s="83" t="s">
        <v>1378</v>
      </c>
      <c r="G362" s="83" t="b">
        <v>0</v>
      </c>
      <c r="H362" s="83" t="b">
        <v>0</v>
      </c>
      <c r="I362" s="83" t="b">
        <v>0</v>
      </c>
      <c r="J362" s="83" t="b">
        <v>0</v>
      </c>
      <c r="K362" s="83" t="b">
        <v>0</v>
      </c>
      <c r="L362" s="83" t="b">
        <v>0</v>
      </c>
    </row>
    <row r="363" spans="1:12" ht="15">
      <c r="A363" s="84" t="s">
        <v>1429</v>
      </c>
      <c r="B363" s="83" t="s">
        <v>1571</v>
      </c>
      <c r="C363" s="83">
        <v>3</v>
      </c>
      <c r="D363" s="110">
        <v>0.0027600615020656892</v>
      </c>
      <c r="E363" s="110">
        <v>1.4493003488335612</v>
      </c>
      <c r="F363" s="83" t="s">
        <v>1378</v>
      </c>
      <c r="G363" s="83" t="b">
        <v>0</v>
      </c>
      <c r="H363" s="83" t="b">
        <v>0</v>
      </c>
      <c r="I363" s="83" t="b">
        <v>0</v>
      </c>
      <c r="J363" s="83" t="b">
        <v>0</v>
      </c>
      <c r="K363" s="83" t="b">
        <v>0</v>
      </c>
      <c r="L363" s="83" t="b">
        <v>0</v>
      </c>
    </row>
    <row r="364" spans="1:12" ht="15">
      <c r="A364" s="84" t="s">
        <v>1428</v>
      </c>
      <c r="B364" s="83" t="s">
        <v>1429</v>
      </c>
      <c r="C364" s="83">
        <v>3</v>
      </c>
      <c r="D364" s="110">
        <v>0.0027600615020656892</v>
      </c>
      <c r="E364" s="110">
        <v>0.3310949948842298</v>
      </c>
      <c r="F364" s="83" t="s">
        <v>1378</v>
      </c>
      <c r="G364" s="83" t="b">
        <v>0</v>
      </c>
      <c r="H364" s="83" t="b">
        <v>0</v>
      </c>
      <c r="I364" s="83" t="b">
        <v>0</v>
      </c>
      <c r="J364" s="83" t="b">
        <v>0</v>
      </c>
      <c r="K364" s="83" t="b">
        <v>0</v>
      </c>
      <c r="L364" s="83" t="b">
        <v>0</v>
      </c>
    </row>
    <row r="365" spans="1:12" ht="15">
      <c r="A365" s="84" t="s">
        <v>1464</v>
      </c>
      <c r="B365" s="83" t="s">
        <v>1464</v>
      </c>
      <c r="C365" s="83">
        <v>3</v>
      </c>
      <c r="D365" s="110">
        <v>0.0024894294440907694</v>
      </c>
      <c r="E365" s="110">
        <v>1.6187610289902294</v>
      </c>
      <c r="F365" s="83" t="s">
        <v>1378</v>
      </c>
      <c r="G365" s="83" t="b">
        <v>0</v>
      </c>
      <c r="H365" s="83" t="b">
        <v>0</v>
      </c>
      <c r="I365" s="83" t="b">
        <v>0</v>
      </c>
      <c r="J365" s="83" t="b">
        <v>0</v>
      </c>
      <c r="K365" s="83" t="b">
        <v>0</v>
      </c>
      <c r="L365" s="83" t="b">
        <v>0</v>
      </c>
    </row>
    <row r="366" spans="1:12" ht="15">
      <c r="A366" s="84" t="s">
        <v>1429</v>
      </c>
      <c r="B366" s="83" t="s">
        <v>1430</v>
      </c>
      <c r="C366" s="83">
        <v>3</v>
      </c>
      <c r="D366" s="110">
        <v>0.0024894294440907694</v>
      </c>
      <c r="E366" s="110">
        <v>0.5250210627716796</v>
      </c>
      <c r="F366" s="83" t="s">
        <v>1378</v>
      </c>
      <c r="G366" s="83" t="b">
        <v>0</v>
      </c>
      <c r="H366" s="83" t="b">
        <v>0</v>
      </c>
      <c r="I366" s="83" t="b">
        <v>0</v>
      </c>
      <c r="J366" s="83" t="b">
        <v>0</v>
      </c>
      <c r="K366" s="83" t="b">
        <v>0</v>
      </c>
      <c r="L366" s="83" t="b">
        <v>0</v>
      </c>
    </row>
    <row r="367" spans="1:12" ht="15">
      <c r="A367" s="84" t="s">
        <v>1495</v>
      </c>
      <c r="B367" s="83" t="s">
        <v>1555</v>
      </c>
      <c r="C367" s="83">
        <v>3</v>
      </c>
      <c r="D367" s="110">
        <v>0.003222710060975496</v>
      </c>
      <c r="E367" s="110">
        <v>2.41711566546216</v>
      </c>
      <c r="F367" s="83" t="s">
        <v>1378</v>
      </c>
      <c r="G367" s="83" t="b">
        <v>0</v>
      </c>
      <c r="H367" s="83" t="b">
        <v>0</v>
      </c>
      <c r="I367" s="83" t="b">
        <v>0</v>
      </c>
      <c r="J367" s="83" t="b">
        <v>0</v>
      </c>
      <c r="K367" s="83" t="b">
        <v>0</v>
      </c>
      <c r="L367" s="83" t="b">
        <v>0</v>
      </c>
    </row>
    <row r="368" spans="1:12" ht="15">
      <c r="A368" s="84" t="s">
        <v>1565</v>
      </c>
      <c r="B368" s="83" t="s">
        <v>1435</v>
      </c>
      <c r="C368" s="83">
        <v>3</v>
      </c>
      <c r="D368" s="110">
        <v>0.0024894294440907694</v>
      </c>
      <c r="E368" s="110">
        <v>1.8362449732041357</v>
      </c>
      <c r="F368" s="83" t="s">
        <v>1378</v>
      </c>
      <c r="G368" s="83" t="b">
        <v>0</v>
      </c>
      <c r="H368" s="83" t="b">
        <v>0</v>
      </c>
      <c r="I368" s="83" t="b">
        <v>0</v>
      </c>
      <c r="J368" s="83" t="b">
        <v>0</v>
      </c>
      <c r="K368" s="83" t="b">
        <v>0</v>
      </c>
      <c r="L368" s="83" t="b">
        <v>0</v>
      </c>
    </row>
    <row r="369" spans="1:12" ht="15">
      <c r="A369" s="84" t="s">
        <v>1488</v>
      </c>
      <c r="B369" s="83" t="s">
        <v>1498</v>
      </c>
      <c r="C369" s="83">
        <v>3</v>
      </c>
      <c r="D369" s="110">
        <v>0.003222710060975496</v>
      </c>
      <c r="E369" s="110">
        <v>2.484062455092773</v>
      </c>
      <c r="F369" s="83" t="s">
        <v>1378</v>
      </c>
      <c r="G369" s="83" t="b">
        <v>0</v>
      </c>
      <c r="H369" s="83" t="b">
        <v>0</v>
      </c>
      <c r="I369" s="83" t="b">
        <v>0</v>
      </c>
      <c r="J369" s="83" t="b">
        <v>0</v>
      </c>
      <c r="K369" s="83" t="b">
        <v>0</v>
      </c>
      <c r="L369" s="83" t="b">
        <v>0</v>
      </c>
    </row>
    <row r="370" spans="1:12" ht="15">
      <c r="A370" s="84" t="s">
        <v>1441</v>
      </c>
      <c r="B370" s="83" t="s">
        <v>1649</v>
      </c>
      <c r="C370" s="83">
        <v>2</v>
      </c>
      <c r="D370" s="110">
        <v>0.0021484733739836645</v>
      </c>
      <c r="E370" s="110">
        <v>2.0447297612625106</v>
      </c>
      <c r="F370" s="83" t="s">
        <v>1378</v>
      </c>
      <c r="G370" s="83" t="b">
        <v>0</v>
      </c>
      <c r="H370" s="83" t="b">
        <v>0</v>
      </c>
      <c r="I370" s="83" t="b">
        <v>0</v>
      </c>
      <c r="J370" s="83" t="b">
        <v>0</v>
      </c>
      <c r="K370" s="83" t="b">
        <v>0</v>
      </c>
      <c r="L370" s="83" t="b">
        <v>0</v>
      </c>
    </row>
    <row r="371" spans="1:12" ht="15">
      <c r="A371" s="84" t="s">
        <v>1471</v>
      </c>
      <c r="B371" s="83" t="s">
        <v>1442</v>
      </c>
      <c r="C371" s="83">
        <v>2</v>
      </c>
      <c r="D371" s="110">
        <v>0.0018400410013771264</v>
      </c>
      <c r="E371" s="110">
        <v>1.9399944107424976</v>
      </c>
      <c r="F371" s="83" t="s">
        <v>1378</v>
      </c>
      <c r="G371" s="83" t="b">
        <v>0</v>
      </c>
      <c r="H371" s="83" t="b">
        <v>0</v>
      </c>
      <c r="I371" s="83" t="b">
        <v>0</v>
      </c>
      <c r="J371" s="83" t="b">
        <v>0</v>
      </c>
      <c r="K371" s="83" t="b">
        <v>0</v>
      </c>
      <c r="L371" s="83" t="b">
        <v>0</v>
      </c>
    </row>
    <row r="372" spans="1:12" ht="15">
      <c r="A372" s="84" t="s">
        <v>1459</v>
      </c>
      <c r="B372" s="83" t="s">
        <v>1437</v>
      </c>
      <c r="C372" s="83">
        <v>2</v>
      </c>
      <c r="D372" s="110">
        <v>0.0018400410013771264</v>
      </c>
      <c r="E372" s="110">
        <v>1.8150556741341977</v>
      </c>
      <c r="F372" s="83" t="s">
        <v>1378</v>
      </c>
      <c r="G372" s="83" t="b">
        <v>0</v>
      </c>
      <c r="H372" s="83" t="b">
        <v>0</v>
      </c>
      <c r="I372" s="83" t="b">
        <v>0</v>
      </c>
      <c r="J372" s="83" t="b">
        <v>0</v>
      </c>
      <c r="K372" s="83" t="b">
        <v>0</v>
      </c>
      <c r="L372" s="83" t="b">
        <v>0</v>
      </c>
    </row>
    <row r="373" spans="1:12" ht="15">
      <c r="A373" s="84" t="s">
        <v>1513</v>
      </c>
      <c r="B373" s="83" t="s">
        <v>1504</v>
      </c>
      <c r="C373" s="83">
        <v>2</v>
      </c>
      <c r="D373" s="110">
        <v>0.0018400410013771264</v>
      </c>
      <c r="E373" s="110">
        <v>2.006941200373111</v>
      </c>
      <c r="F373" s="83" t="s">
        <v>1378</v>
      </c>
      <c r="G373" s="83" t="b">
        <v>0</v>
      </c>
      <c r="H373" s="83" t="b">
        <v>0</v>
      </c>
      <c r="I373" s="83" t="b">
        <v>0</v>
      </c>
      <c r="J373" s="83" t="b">
        <v>0</v>
      </c>
      <c r="K373" s="83" t="b">
        <v>0</v>
      </c>
      <c r="L373" s="83" t="b">
        <v>0</v>
      </c>
    </row>
    <row r="374" spans="1:12" ht="15">
      <c r="A374" s="84" t="s">
        <v>1577</v>
      </c>
      <c r="B374" s="83" t="s">
        <v>1504</v>
      </c>
      <c r="C374" s="83">
        <v>2</v>
      </c>
      <c r="D374" s="110">
        <v>0.0018400410013771264</v>
      </c>
      <c r="E374" s="110">
        <v>2.183032459428792</v>
      </c>
      <c r="F374" s="83" t="s">
        <v>1378</v>
      </c>
      <c r="G374" s="83" t="b">
        <v>0</v>
      </c>
      <c r="H374" s="83" t="b">
        <v>0</v>
      </c>
      <c r="I374" s="83" t="b">
        <v>0</v>
      </c>
      <c r="J374" s="83" t="b">
        <v>0</v>
      </c>
      <c r="K374" s="83" t="b">
        <v>0</v>
      </c>
      <c r="L374" s="83" t="b">
        <v>0</v>
      </c>
    </row>
    <row r="375" spans="1:12" ht="15">
      <c r="A375" s="84" t="s">
        <v>1429</v>
      </c>
      <c r="B375" s="83" t="s">
        <v>1755</v>
      </c>
      <c r="C375" s="83">
        <v>2</v>
      </c>
      <c r="D375" s="110">
        <v>0.0018400410013771264</v>
      </c>
      <c r="E375" s="110">
        <v>1.4950578393942364</v>
      </c>
      <c r="F375" s="83" t="s">
        <v>1378</v>
      </c>
      <c r="G375" s="83" t="b">
        <v>0</v>
      </c>
      <c r="H375" s="83" t="b">
        <v>0</v>
      </c>
      <c r="I375" s="83" t="b">
        <v>0</v>
      </c>
      <c r="J375" s="83" t="b">
        <v>0</v>
      </c>
      <c r="K375" s="83" t="b">
        <v>0</v>
      </c>
      <c r="L375" s="83" t="b">
        <v>0</v>
      </c>
    </row>
    <row r="376" spans="1:12" ht="15">
      <c r="A376" s="84" t="s">
        <v>1756</v>
      </c>
      <c r="B376" s="83" t="s">
        <v>1503</v>
      </c>
      <c r="C376" s="83">
        <v>2</v>
      </c>
      <c r="D376" s="110">
        <v>0.0021484733739836645</v>
      </c>
      <c r="E376" s="110">
        <v>2.359123718484473</v>
      </c>
      <c r="F376" s="83" t="s">
        <v>1378</v>
      </c>
      <c r="G376" s="83" t="b">
        <v>0</v>
      </c>
      <c r="H376" s="83" t="b">
        <v>0</v>
      </c>
      <c r="I376" s="83" t="b">
        <v>0</v>
      </c>
      <c r="J376" s="83" t="b">
        <v>0</v>
      </c>
      <c r="K376" s="83" t="b">
        <v>0</v>
      </c>
      <c r="L376" s="83" t="b">
        <v>0</v>
      </c>
    </row>
    <row r="377" spans="1:12" ht="15">
      <c r="A377" s="84" t="s">
        <v>1429</v>
      </c>
      <c r="B377" s="83" t="s">
        <v>1477</v>
      </c>
      <c r="C377" s="83">
        <v>2</v>
      </c>
      <c r="D377" s="110">
        <v>0.0018400410013771264</v>
      </c>
      <c r="E377" s="110">
        <v>1.0690891071219553</v>
      </c>
      <c r="F377" s="83" t="s">
        <v>1378</v>
      </c>
      <c r="G377" s="83" t="b">
        <v>0</v>
      </c>
      <c r="H377" s="83" t="b">
        <v>0</v>
      </c>
      <c r="I377" s="83" t="b">
        <v>0</v>
      </c>
      <c r="J377" s="83" t="b">
        <v>0</v>
      </c>
      <c r="K377" s="83" t="b">
        <v>0</v>
      </c>
      <c r="L377" s="83" t="b">
        <v>0</v>
      </c>
    </row>
    <row r="378" spans="1:12" ht="15">
      <c r="A378" s="84" t="s">
        <v>1499</v>
      </c>
      <c r="B378" s="83" t="s">
        <v>1474</v>
      </c>
      <c r="C378" s="83">
        <v>2</v>
      </c>
      <c r="D378" s="110">
        <v>0.0018400410013771264</v>
      </c>
      <c r="E378" s="110">
        <v>2.006941200373111</v>
      </c>
      <c r="F378" s="83" t="s">
        <v>1378</v>
      </c>
      <c r="G378" s="83" t="b">
        <v>0</v>
      </c>
      <c r="H378" s="83" t="b">
        <v>0</v>
      </c>
      <c r="I378" s="83" t="b">
        <v>0</v>
      </c>
      <c r="J378" s="83" t="b">
        <v>0</v>
      </c>
      <c r="K378" s="83" t="b">
        <v>0</v>
      </c>
      <c r="L378" s="83" t="b">
        <v>0</v>
      </c>
    </row>
    <row r="379" spans="1:12" ht="15">
      <c r="A379" s="84" t="s">
        <v>1428</v>
      </c>
      <c r="B379" s="83" t="s">
        <v>1456</v>
      </c>
      <c r="C379" s="83">
        <v>2</v>
      </c>
      <c r="D379" s="110">
        <v>0.0018400410013771264</v>
      </c>
      <c r="E379" s="110">
        <v>0.8028212177171861</v>
      </c>
      <c r="F379" s="83" t="s">
        <v>1378</v>
      </c>
      <c r="G379" s="83" t="b">
        <v>0</v>
      </c>
      <c r="H379" s="83" t="b">
        <v>0</v>
      </c>
      <c r="I379" s="83" t="b">
        <v>0</v>
      </c>
      <c r="J379" s="83" t="b">
        <v>1</v>
      </c>
      <c r="K379" s="83" t="b">
        <v>0</v>
      </c>
      <c r="L379" s="83" t="b">
        <v>0</v>
      </c>
    </row>
    <row r="380" spans="1:12" ht="15">
      <c r="A380" s="84" t="s">
        <v>2019</v>
      </c>
      <c r="B380" s="83" t="s">
        <v>1430</v>
      </c>
      <c r="C380" s="83">
        <v>2</v>
      </c>
      <c r="D380" s="110">
        <v>0.0021484733739836645</v>
      </c>
      <c r="E380" s="110">
        <v>1.6389644150785163</v>
      </c>
      <c r="F380" s="83" t="s">
        <v>1378</v>
      </c>
      <c r="G380" s="83" t="b">
        <v>0</v>
      </c>
      <c r="H380" s="83" t="b">
        <v>0</v>
      </c>
      <c r="I380" s="83" t="b">
        <v>0</v>
      </c>
      <c r="J380" s="83" t="b">
        <v>0</v>
      </c>
      <c r="K380" s="83" t="b">
        <v>0</v>
      </c>
      <c r="L380" s="83" t="b">
        <v>0</v>
      </c>
    </row>
    <row r="381" spans="1:12" ht="15">
      <c r="A381" s="84" t="s">
        <v>1557</v>
      </c>
      <c r="B381" s="83" t="s">
        <v>1557</v>
      </c>
      <c r="C381" s="83">
        <v>2</v>
      </c>
      <c r="D381" s="110">
        <v>0.0018400410013771264</v>
      </c>
      <c r="E381" s="110">
        <v>2.262213705476417</v>
      </c>
      <c r="F381" s="83" t="s">
        <v>1378</v>
      </c>
      <c r="G381" s="83" t="b">
        <v>0</v>
      </c>
      <c r="H381" s="83" t="b">
        <v>0</v>
      </c>
      <c r="I381" s="83" t="b">
        <v>0</v>
      </c>
      <c r="J381" s="83" t="b">
        <v>0</v>
      </c>
      <c r="K381" s="83" t="b">
        <v>0</v>
      </c>
      <c r="L381" s="83" t="b">
        <v>0</v>
      </c>
    </row>
    <row r="382" spans="1:12" ht="15">
      <c r="A382" s="84" t="s">
        <v>1972</v>
      </c>
      <c r="B382" s="83" t="s">
        <v>1973</v>
      </c>
      <c r="C382" s="83">
        <v>2</v>
      </c>
      <c r="D382" s="110">
        <v>0.0021484733739836645</v>
      </c>
      <c r="E382" s="110">
        <v>2.9611837098124356</v>
      </c>
      <c r="F382" s="83" t="s">
        <v>1378</v>
      </c>
      <c r="G382" s="83" t="b">
        <v>0</v>
      </c>
      <c r="H382" s="83" t="b">
        <v>0</v>
      </c>
      <c r="I382" s="83" t="b">
        <v>0</v>
      </c>
      <c r="J382" s="83" t="b">
        <v>0</v>
      </c>
      <c r="K382" s="83" t="b">
        <v>0</v>
      </c>
      <c r="L382" s="83" t="b">
        <v>0</v>
      </c>
    </row>
    <row r="383" spans="1:12" ht="15">
      <c r="A383" s="84" t="s">
        <v>1973</v>
      </c>
      <c r="B383" s="83" t="s">
        <v>1974</v>
      </c>
      <c r="C383" s="83">
        <v>2</v>
      </c>
      <c r="D383" s="110">
        <v>0.0021484733739836645</v>
      </c>
      <c r="E383" s="110">
        <v>2.9611837098124356</v>
      </c>
      <c r="F383" s="83" t="s">
        <v>1378</v>
      </c>
      <c r="G383" s="83" t="b">
        <v>0</v>
      </c>
      <c r="H383" s="83" t="b">
        <v>0</v>
      </c>
      <c r="I383" s="83" t="b">
        <v>0</v>
      </c>
      <c r="J383" s="83" t="b">
        <v>0</v>
      </c>
      <c r="K383" s="83" t="b">
        <v>0</v>
      </c>
      <c r="L383" s="83" t="b">
        <v>0</v>
      </c>
    </row>
    <row r="384" spans="1:12" ht="15">
      <c r="A384" s="84" t="s">
        <v>1974</v>
      </c>
      <c r="B384" s="83" t="s">
        <v>1636</v>
      </c>
      <c r="C384" s="83">
        <v>2</v>
      </c>
      <c r="D384" s="110">
        <v>0.0021484733739836645</v>
      </c>
      <c r="E384" s="110">
        <v>2.9611837098124356</v>
      </c>
      <c r="F384" s="83" t="s">
        <v>1378</v>
      </c>
      <c r="G384" s="83" t="b">
        <v>0</v>
      </c>
      <c r="H384" s="83" t="b">
        <v>0</v>
      </c>
      <c r="I384" s="83" t="b">
        <v>0</v>
      </c>
      <c r="J384" s="83" t="b">
        <v>0</v>
      </c>
      <c r="K384" s="83" t="b">
        <v>0</v>
      </c>
      <c r="L384" s="83" t="b">
        <v>0</v>
      </c>
    </row>
    <row r="385" spans="1:12" ht="15">
      <c r="A385" s="84" t="s">
        <v>1495</v>
      </c>
      <c r="B385" s="83" t="s">
        <v>1458</v>
      </c>
      <c r="C385" s="83">
        <v>2</v>
      </c>
      <c r="D385" s="110">
        <v>0.0018400410013771264</v>
      </c>
      <c r="E385" s="110">
        <v>1.8150556741341977</v>
      </c>
      <c r="F385" s="83" t="s">
        <v>1378</v>
      </c>
      <c r="G385" s="83" t="b">
        <v>0</v>
      </c>
      <c r="H385" s="83" t="b">
        <v>0</v>
      </c>
      <c r="I385" s="83" t="b">
        <v>0</v>
      </c>
      <c r="J385" s="83" t="b">
        <v>1</v>
      </c>
      <c r="K385" s="83" t="b">
        <v>0</v>
      </c>
      <c r="L385" s="83" t="b">
        <v>0</v>
      </c>
    </row>
    <row r="386" spans="1:12" ht="15">
      <c r="A386" s="84" t="s">
        <v>1428</v>
      </c>
      <c r="B386" s="83" t="s">
        <v>1669</v>
      </c>
      <c r="C386" s="83">
        <v>2</v>
      </c>
      <c r="D386" s="110">
        <v>0.0018400410013771264</v>
      </c>
      <c r="E386" s="110">
        <v>1.2799424724368484</v>
      </c>
      <c r="F386" s="83" t="s">
        <v>1378</v>
      </c>
      <c r="G386" s="83" t="b">
        <v>0</v>
      </c>
      <c r="H386" s="83" t="b">
        <v>0</v>
      </c>
      <c r="I386" s="83" t="b">
        <v>0</v>
      </c>
      <c r="J386" s="83" t="b">
        <v>1</v>
      </c>
      <c r="K386" s="83" t="b">
        <v>0</v>
      </c>
      <c r="L386" s="83" t="b">
        <v>0</v>
      </c>
    </row>
    <row r="387" spans="1:12" ht="15">
      <c r="A387" s="84" t="s">
        <v>1669</v>
      </c>
      <c r="B387" s="83" t="s">
        <v>1440</v>
      </c>
      <c r="C387" s="83">
        <v>2</v>
      </c>
      <c r="D387" s="110">
        <v>0.0018400410013771264</v>
      </c>
      <c r="E387" s="110">
        <v>1.9100311873650544</v>
      </c>
      <c r="F387" s="83" t="s">
        <v>1378</v>
      </c>
      <c r="G387" s="83" t="b">
        <v>1</v>
      </c>
      <c r="H387" s="83" t="b">
        <v>0</v>
      </c>
      <c r="I387" s="83" t="b">
        <v>0</v>
      </c>
      <c r="J387" s="83" t="b">
        <v>1</v>
      </c>
      <c r="K387" s="83" t="b">
        <v>0</v>
      </c>
      <c r="L387" s="83" t="b">
        <v>0</v>
      </c>
    </row>
    <row r="388" spans="1:12" ht="15">
      <c r="A388" s="84" t="s">
        <v>1547</v>
      </c>
      <c r="B388" s="83" t="s">
        <v>1428</v>
      </c>
      <c r="C388" s="83">
        <v>2</v>
      </c>
      <c r="D388" s="110">
        <v>0.0018400410013771264</v>
      </c>
      <c r="E388" s="110">
        <v>1.2665785108788667</v>
      </c>
      <c r="F388" s="83" t="s">
        <v>1378</v>
      </c>
      <c r="G388" s="83" t="b">
        <v>0</v>
      </c>
      <c r="H388" s="83" t="b">
        <v>0</v>
      </c>
      <c r="I388" s="83" t="b">
        <v>0</v>
      </c>
      <c r="J388" s="83" t="b">
        <v>0</v>
      </c>
      <c r="K388" s="83" t="b">
        <v>0</v>
      </c>
      <c r="L388" s="83" t="b">
        <v>0</v>
      </c>
    </row>
    <row r="389" spans="1:12" ht="15">
      <c r="A389" s="84" t="s">
        <v>1505</v>
      </c>
      <c r="B389" s="83" t="s">
        <v>1428</v>
      </c>
      <c r="C389" s="83">
        <v>2</v>
      </c>
      <c r="D389" s="110">
        <v>0.0018400410013771264</v>
      </c>
      <c r="E389" s="110">
        <v>0.9655485152148856</v>
      </c>
      <c r="F389" s="83" t="s">
        <v>1378</v>
      </c>
      <c r="G389" s="83" t="b">
        <v>0</v>
      </c>
      <c r="H389" s="83" t="b">
        <v>0</v>
      </c>
      <c r="I389" s="83" t="b">
        <v>0</v>
      </c>
      <c r="J389" s="83" t="b">
        <v>0</v>
      </c>
      <c r="K389" s="83" t="b">
        <v>0</v>
      </c>
      <c r="L389" s="83" t="b">
        <v>0</v>
      </c>
    </row>
    <row r="390" spans="1:12" ht="15">
      <c r="A390" s="84" t="s">
        <v>1480</v>
      </c>
      <c r="B390" s="83" t="s">
        <v>1434</v>
      </c>
      <c r="C390" s="83">
        <v>2</v>
      </c>
      <c r="D390" s="110">
        <v>0.0021484733739836645</v>
      </c>
      <c r="E390" s="110">
        <v>1.6090011917010731</v>
      </c>
      <c r="F390" s="83" t="s">
        <v>1378</v>
      </c>
      <c r="G390" s="83" t="b">
        <v>0</v>
      </c>
      <c r="H390" s="83" t="b">
        <v>0</v>
      </c>
      <c r="I390" s="83" t="b">
        <v>0</v>
      </c>
      <c r="J390" s="83" t="b">
        <v>0</v>
      </c>
      <c r="K390" s="83" t="b">
        <v>0</v>
      </c>
      <c r="L390" s="83" t="b">
        <v>0</v>
      </c>
    </row>
    <row r="391" spans="1:12" ht="15">
      <c r="A391" s="84" t="s">
        <v>1434</v>
      </c>
      <c r="B391" s="83" t="s">
        <v>1639</v>
      </c>
      <c r="C391" s="83">
        <v>2</v>
      </c>
      <c r="D391" s="110">
        <v>0.0021484733739836645</v>
      </c>
      <c r="E391" s="110">
        <v>2.0861224464207355</v>
      </c>
      <c r="F391" s="83" t="s">
        <v>1378</v>
      </c>
      <c r="G391" s="83" t="b">
        <v>0</v>
      </c>
      <c r="H391" s="83" t="b">
        <v>0</v>
      </c>
      <c r="I391" s="83" t="b">
        <v>0</v>
      </c>
      <c r="J391" s="83" t="b">
        <v>0</v>
      </c>
      <c r="K391" s="83" t="b">
        <v>0</v>
      </c>
      <c r="L391" s="83" t="b">
        <v>0</v>
      </c>
    </row>
    <row r="392" spans="1:12" ht="15">
      <c r="A392" s="84" t="s">
        <v>1639</v>
      </c>
      <c r="B392" s="83" t="s">
        <v>1969</v>
      </c>
      <c r="C392" s="83">
        <v>2</v>
      </c>
      <c r="D392" s="110">
        <v>0.0021484733739836645</v>
      </c>
      <c r="E392" s="110">
        <v>2.9611837098124356</v>
      </c>
      <c r="F392" s="83" t="s">
        <v>1378</v>
      </c>
      <c r="G392" s="83" t="b">
        <v>0</v>
      </c>
      <c r="H392" s="83" t="b">
        <v>0</v>
      </c>
      <c r="I392" s="83" t="b">
        <v>0</v>
      </c>
      <c r="J392" s="83" t="b">
        <v>0</v>
      </c>
      <c r="K392" s="83" t="b">
        <v>0</v>
      </c>
      <c r="L392" s="83" t="b">
        <v>0</v>
      </c>
    </row>
    <row r="393" spans="1:12" ht="15">
      <c r="A393" s="84" t="s">
        <v>1428</v>
      </c>
      <c r="B393" s="83" t="s">
        <v>1440</v>
      </c>
      <c r="C393" s="83">
        <v>2</v>
      </c>
      <c r="D393" s="110">
        <v>0.0018400410013771264</v>
      </c>
      <c r="E393" s="110">
        <v>0.5809724681008296</v>
      </c>
      <c r="F393" s="83" t="s">
        <v>1378</v>
      </c>
      <c r="G393" s="83" t="b">
        <v>0</v>
      </c>
      <c r="H393" s="83" t="b">
        <v>0</v>
      </c>
      <c r="I393" s="83" t="b">
        <v>0</v>
      </c>
      <c r="J393" s="83" t="b">
        <v>1</v>
      </c>
      <c r="K393" s="83" t="b">
        <v>0</v>
      </c>
      <c r="L393" s="83" t="b">
        <v>0</v>
      </c>
    </row>
    <row r="394" spans="1:12" ht="15">
      <c r="A394" s="84" t="s">
        <v>1553</v>
      </c>
      <c r="B394" s="83" t="s">
        <v>1452</v>
      </c>
      <c r="C394" s="83">
        <v>2</v>
      </c>
      <c r="D394" s="110">
        <v>0.0021484733739836645</v>
      </c>
      <c r="E394" s="110">
        <v>2.307971196037092</v>
      </c>
      <c r="F394" s="83" t="s">
        <v>1378</v>
      </c>
      <c r="G394" s="83" t="b">
        <v>0</v>
      </c>
      <c r="H394" s="83" t="b">
        <v>0</v>
      </c>
      <c r="I394" s="83" t="b">
        <v>0</v>
      </c>
      <c r="J394" s="83" t="b">
        <v>0</v>
      </c>
      <c r="K394" s="83" t="b">
        <v>0</v>
      </c>
      <c r="L394" s="83" t="b">
        <v>0</v>
      </c>
    </row>
    <row r="395" spans="1:12" ht="15">
      <c r="A395" s="84" t="s">
        <v>1545</v>
      </c>
      <c r="B395" s="83" t="s">
        <v>1474</v>
      </c>
      <c r="C395" s="83">
        <v>2</v>
      </c>
      <c r="D395" s="110">
        <v>0.0018400410013771264</v>
      </c>
      <c r="E395" s="110">
        <v>2.006941200373111</v>
      </c>
      <c r="F395" s="83" t="s">
        <v>1378</v>
      </c>
      <c r="G395" s="83" t="b">
        <v>0</v>
      </c>
      <c r="H395" s="83" t="b">
        <v>0</v>
      </c>
      <c r="I395" s="83" t="b">
        <v>0</v>
      </c>
      <c r="J395" s="83" t="b">
        <v>0</v>
      </c>
      <c r="K395" s="83" t="b">
        <v>0</v>
      </c>
      <c r="L395" s="83" t="b">
        <v>0</v>
      </c>
    </row>
    <row r="396" spans="1:12" ht="15">
      <c r="A396" s="84" t="s">
        <v>1915</v>
      </c>
      <c r="B396" s="83" t="s">
        <v>1916</v>
      </c>
      <c r="C396" s="83">
        <v>2</v>
      </c>
      <c r="D396" s="110">
        <v>0.0018400410013771264</v>
      </c>
      <c r="E396" s="110">
        <v>2.9611837098124356</v>
      </c>
      <c r="F396" s="83" t="s">
        <v>1378</v>
      </c>
      <c r="G396" s="83" t="b">
        <v>0</v>
      </c>
      <c r="H396" s="83" t="b">
        <v>0</v>
      </c>
      <c r="I396" s="83" t="b">
        <v>0</v>
      </c>
      <c r="J396" s="83" t="b">
        <v>0</v>
      </c>
      <c r="K396" s="83" t="b">
        <v>0</v>
      </c>
      <c r="L396" s="83" t="b">
        <v>0</v>
      </c>
    </row>
    <row r="397" spans="1:12" ht="15">
      <c r="A397" s="84" t="s">
        <v>1434</v>
      </c>
      <c r="B397" s="83" t="s">
        <v>1572</v>
      </c>
      <c r="C397" s="83">
        <v>2</v>
      </c>
      <c r="D397" s="110">
        <v>0.0021484733739836645</v>
      </c>
      <c r="E397" s="110">
        <v>1.7850924507567545</v>
      </c>
      <c r="F397" s="83" t="s">
        <v>1378</v>
      </c>
      <c r="G397" s="83" t="b">
        <v>0</v>
      </c>
      <c r="H397" s="83" t="b">
        <v>0</v>
      </c>
      <c r="I397" s="83" t="b">
        <v>0</v>
      </c>
      <c r="J397" s="83" t="b">
        <v>0</v>
      </c>
      <c r="K397" s="83" t="b">
        <v>0</v>
      </c>
      <c r="L397" s="83" t="b">
        <v>0</v>
      </c>
    </row>
    <row r="398" spans="1:12" ht="15">
      <c r="A398" s="84" t="s">
        <v>1572</v>
      </c>
      <c r="B398" s="83" t="s">
        <v>1434</v>
      </c>
      <c r="C398" s="83">
        <v>2</v>
      </c>
      <c r="D398" s="110">
        <v>0.0018400410013771264</v>
      </c>
      <c r="E398" s="110">
        <v>1.7850924507567545</v>
      </c>
      <c r="F398" s="83" t="s">
        <v>1378</v>
      </c>
      <c r="G398" s="83" t="b">
        <v>0</v>
      </c>
      <c r="H398" s="83" t="b">
        <v>0</v>
      </c>
      <c r="I398" s="83" t="b">
        <v>0</v>
      </c>
      <c r="J398" s="83" t="b">
        <v>0</v>
      </c>
      <c r="K398" s="83" t="b">
        <v>0</v>
      </c>
      <c r="L398" s="83" t="b">
        <v>0</v>
      </c>
    </row>
    <row r="399" spans="1:12" ht="15">
      <c r="A399" s="84" t="s">
        <v>1428</v>
      </c>
      <c r="B399" s="83" t="s">
        <v>1608</v>
      </c>
      <c r="C399" s="83">
        <v>2</v>
      </c>
      <c r="D399" s="110">
        <v>0.0018400410013771264</v>
      </c>
      <c r="E399" s="110">
        <v>1.1550037358285485</v>
      </c>
      <c r="F399" s="83" t="s">
        <v>1378</v>
      </c>
      <c r="G399" s="83" t="b">
        <v>0</v>
      </c>
      <c r="H399" s="83" t="b">
        <v>0</v>
      </c>
      <c r="I399" s="83" t="b">
        <v>0</v>
      </c>
      <c r="J399" s="83" t="b">
        <v>0</v>
      </c>
      <c r="K399" s="83" t="b">
        <v>0</v>
      </c>
      <c r="L399" s="83" t="b">
        <v>0</v>
      </c>
    </row>
    <row r="400" spans="1:12" ht="15">
      <c r="A400" s="84" t="s">
        <v>1629</v>
      </c>
      <c r="B400" s="83" t="s">
        <v>1719</v>
      </c>
      <c r="C400" s="83">
        <v>2</v>
      </c>
      <c r="D400" s="110">
        <v>0.0021484733739836645</v>
      </c>
      <c r="E400" s="110">
        <v>2.7850924507567543</v>
      </c>
      <c r="F400" s="83" t="s">
        <v>1378</v>
      </c>
      <c r="G400" s="83" t="b">
        <v>0</v>
      </c>
      <c r="H400" s="83" t="b">
        <v>0</v>
      </c>
      <c r="I400" s="83" t="b">
        <v>0</v>
      </c>
      <c r="J400" s="83" t="b">
        <v>0</v>
      </c>
      <c r="K400" s="83" t="b">
        <v>0</v>
      </c>
      <c r="L400" s="83" t="b">
        <v>0</v>
      </c>
    </row>
    <row r="401" spans="1:12" ht="15">
      <c r="A401" s="84" t="s">
        <v>1428</v>
      </c>
      <c r="B401" s="83" t="s">
        <v>1911</v>
      </c>
      <c r="C401" s="83">
        <v>2</v>
      </c>
      <c r="D401" s="110">
        <v>0.0021484733739836645</v>
      </c>
      <c r="E401" s="110">
        <v>1.4560337314925298</v>
      </c>
      <c r="F401" s="83" t="s">
        <v>1378</v>
      </c>
      <c r="G401" s="83" t="b">
        <v>0</v>
      </c>
      <c r="H401" s="83" t="b">
        <v>0</v>
      </c>
      <c r="I401" s="83" t="b">
        <v>0</v>
      </c>
      <c r="J401" s="83" t="b">
        <v>0</v>
      </c>
      <c r="K401" s="83" t="b">
        <v>0</v>
      </c>
      <c r="L401" s="83" t="b">
        <v>0</v>
      </c>
    </row>
    <row r="402" spans="1:12" ht="15">
      <c r="A402" s="84" t="s">
        <v>1911</v>
      </c>
      <c r="B402" s="83" t="s">
        <v>1912</v>
      </c>
      <c r="C402" s="83">
        <v>2</v>
      </c>
      <c r="D402" s="110">
        <v>0.0021484733739836645</v>
      </c>
      <c r="E402" s="110">
        <v>2.9611837098124356</v>
      </c>
      <c r="F402" s="83" t="s">
        <v>1378</v>
      </c>
      <c r="G402" s="83" t="b">
        <v>0</v>
      </c>
      <c r="H402" s="83" t="b">
        <v>0</v>
      </c>
      <c r="I402" s="83" t="b">
        <v>0</v>
      </c>
      <c r="J402" s="83" t="b">
        <v>0</v>
      </c>
      <c r="K402" s="83" t="b">
        <v>0</v>
      </c>
      <c r="L402" s="83" t="b">
        <v>0</v>
      </c>
    </row>
    <row r="403" spans="1:12" ht="15">
      <c r="A403" s="84" t="s">
        <v>1538</v>
      </c>
      <c r="B403" s="83" t="s">
        <v>1891</v>
      </c>
      <c r="C403" s="83">
        <v>2</v>
      </c>
      <c r="D403" s="110">
        <v>0.0021484733739836645</v>
      </c>
      <c r="E403" s="110">
        <v>2.7850924507567543</v>
      </c>
      <c r="F403" s="83" t="s">
        <v>1378</v>
      </c>
      <c r="G403" s="83" t="b">
        <v>0</v>
      </c>
      <c r="H403" s="83" t="b">
        <v>0</v>
      </c>
      <c r="I403" s="83" t="b">
        <v>0</v>
      </c>
      <c r="J403" s="83" t="b">
        <v>0</v>
      </c>
      <c r="K403" s="83" t="b">
        <v>0</v>
      </c>
      <c r="L403" s="83" t="b">
        <v>0</v>
      </c>
    </row>
    <row r="404" spans="1:12" ht="15">
      <c r="A404" s="84" t="s">
        <v>1523</v>
      </c>
      <c r="B404" s="83" t="s">
        <v>1428</v>
      </c>
      <c r="C404" s="83">
        <v>2</v>
      </c>
      <c r="D404" s="110">
        <v>0.0018400410013771264</v>
      </c>
      <c r="E404" s="110">
        <v>0.9655485152148856</v>
      </c>
      <c r="F404" s="83" t="s">
        <v>1378</v>
      </c>
      <c r="G404" s="83" t="b">
        <v>0</v>
      </c>
      <c r="H404" s="83" t="b">
        <v>0</v>
      </c>
      <c r="I404" s="83" t="b">
        <v>0</v>
      </c>
      <c r="J404" s="83" t="b">
        <v>0</v>
      </c>
      <c r="K404" s="83" t="b">
        <v>0</v>
      </c>
      <c r="L404" s="83" t="b">
        <v>0</v>
      </c>
    </row>
    <row r="405" spans="1:12" ht="15">
      <c r="A405" s="84" t="s">
        <v>1476</v>
      </c>
      <c r="B405" s="83" t="s">
        <v>1438</v>
      </c>
      <c r="C405" s="83">
        <v>2</v>
      </c>
      <c r="D405" s="110">
        <v>0.0018400410013771264</v>
      </c>
      <c r="E405" s="110">
        <v>1.54205440207046</v>
      </c>
      <c r="F405" s="83" t="s">
        <v>1378</v>
      </c>
      <c r="G405" s="83" t="b">
        <v>0</v>
      </c>
      <c r="H405" s="83" t="b">
        <v>0</v>
      </c>
      <c r="I405" s="83" t="b">
        <v>0</v>
      </c>
      <c r="J405" s="83" t="b">
        <v>1</v>
      </c>
      <c r="K405" s="83" t="b">
        <v>0</v>
      </c>
      <c r="L405" s="83" t="b">
        <v>0</v>
      </c>
    </row>
    <row r="406" spans="1:12" ht="15">
      <c r="A406" s="84" t="s">
        <v>1500</v>
      </c>
      <c r="B406" s="83" t="s">
        <v>1444</v>
      </c>
      <c r="C406" s="83">
        <v>2</v>
      </c>
      <c r="D406" s="110">
        <v>0.0018400410013771264</v>
      </c>
      <c r="E406" s="110">
        <v>2.0191756567901225</v>
      </c>
      <c r="F406" s="83" t="s">
        <v>1378</v>
      </c>
      <c r="G406" s="83" t="b">
        <v>0</v>
      </c>
      <c r="H406" s="83" t="b">
        <v>0</v>
      </c>
      <c r="I406" s="83" t="b">
        <v>0</v>
      </c>
      <c r="J406" s="83" t="b">
        <v>0</v>
      </c>
      <c r="K406" s="83" t="b">
        <v>0</v>
      </c>
      <c r="L406" s="83" t="b">
        <v>0</v>
      </c>
    </row>
    <row r="407" spans="1:12" ht="15">
      <c r="A407" s="84" t="s">
        <v>1430</v>
      </c>
      <c r="B407" s="83" t="s">
        <v>1472</v>
      </c>
      <c r="C407" s="83">
        <v>2</v>
      </c>
      <c r="D407" s="110">
        <v>0.0018400410013771264</v>
      </c>
      <c r="E407" s="110">
        <v>1.0069412003731109</v>
      </c>
      <c r="F407" s="83" t="s">
        <v>1378</v>
      </c>
      <c r="G407" s="83" t="b">
        <v>0</v>
      </c>
      <c r="H407" s="83" t="b">
        <v>0</v>
      </c>
      <c r="I407" s="83" t="b">
        <v>0</v>
      </c>
      <c r="J407" s="83" t="b">
        <v>0</v>
      </c>
      <c r="K407" s="83" t="b">
        <v>0</v>
      </c>
      <c r="L407" s="83" t="b">
        <v>0</v>
      </c>
    </row>
    <row r="408" spans="1:12" ht="15">
      <c r="A408" s="84" t="s">
        <v>1536</v>
      </c>
      <c r="B408" s="83" t="s">
        <v>1502</v>
      </c>
      <c r="C408" s="83">
        <v>2</v>
      </c>
      <c r="D408" s="110">
        <v>0.0018400410013771264</v>
      </c>
      <c r="E408" s="110">
        <v>2.4840624550927735</v>
      </c>
      <c r="F408" s="83" t="s">
        <v>1378</v>
      </c>
      <c r="G408" s="83" t="b">
        <v>0</v>
      </c>
      <c r="H408" s="83" t="b">
        <v>0</v>
      </c>
      <c r="I408" s="83" t="b">
        <v>0</v>
      </c>
      <c r="J408" s="83" t="b">
        <v>0</v>
      </c>
      <c r="K408" s="83" t="b">
        <v>0</v>
      </c>
      <c r="L408" s="83" t="b">
        <v>0</v>
      </c>
    </row>
    <row r="409" spans="1:12" ht="15">
      <c r="A409" s="84" t="s">
        <v>1429</v>
      </c>
      <c r="B409" s="83" t="s">
        <v>1438</v>
      </c>
      <c r="C409" s="83">
        <v>2</v>
      </c>
      <c r="D409" s="110">
        <v>0.0018400410013771264</v>
      </c>
      <c r="E409" s="110">
        <v>0.7960878350582176</v>
      </c>
      <c r="F409" s="83" t="s">
        <v>1378</v>
      </c>
      <c r="G409" s="83" t="b">
        <v>0</v>
      </c>
      <c r="H409" s="83" t="b">
        <v>0</v>
      </c>
      <c r="I409" s="83" t="b">
        <v>0</v>
      </c>
      <c r="J409" s="83" t="b">
        <v>1</v>
      </c>
      <c r="K409" s="83" t="b">
        <v>0</v>
      </c>
      <c r="L409" s="83" t="b">
        <v>0</v>
      </c>
    </row>
    <row r="410" spans="1:12" ht="15">
      <c r="A410" s="84" t="s">
        <v>1429</v>
      </c>
      <c r="B410" s="83" t="s">
        <v>1460</v>
      </c>
      <c r="C410" s="83">
        <v>2</v>
      </c>
      <c r="D410" s="110">
        <v>0.0018400410013771264</v>
      </c>
      <c r="E410" s="110">
        <v>0.9721790941138989</v>
      </c>
      <c r="F410" s="83" t="s">
        <v>1378</v>
      </c>
      <c r="G410" s="83" t="b">
        <v>0</v>
      </c>
      <c r="H410" s="83" t="b">
        <v>0</v>
      </c>
      <c r="I410" s="83" t="b">
        <v>0</v>
      </c>
      <c r="J410" s="83" t="b">
        <v>0</v>
      </c>
      <c r="K410" s="83" t="b">
        <v>0</v>
      </c>
      <c r="L410" s="83" t="b">
        <v>0</v>
      </c>
    </row>
    <row r="411" spans="1:12" ht="15">
      <c r="A411" s="84" t="s">
        <v>1432</v>
      </c>
      <c r="B411" s="83" t="s">
        <v>1462</v>
      </c>
      <c r="C411" s="83">
        <v>2</v>
      </c>
      <c r="D411" s="110">
        <v>0.0018400410013771264</v>
      </c>
      <c r="E411" s="110">
        <v>1.266578510878867</v>
      </c>
      <c r="F411" s="83" t="s">
        <v>1378</v>
      </c>
      <c r="G411" s="83" t="b">
        <v>0</v>
      </c>
      <c r="H411" s="83" t="b">
        <v>0</v>
      </c>
      <c r="I411" s="83" t="b">
        <v>0</v>
      </c>
      <c r="J411" s="83" t="b">
        <v>0</v>
      </c>
      <c r="K411" s="83" t="b">
        <v>0</v>
      </c>
      <c r="L411" s="83" t="b">
        <v>0</v>
      </c>
    </row>
    <row r="412" spans="1:12" ht="15">
      <c r="A412" s="84" t="s">
        <v>1690</v>
      </c>
      <c r="B412" s="83" t="s">
        <v>1464</v>
      </c>
      <c r="C412" s="83">
        <v>2</v>
      </c>
      <c r="D412" s="110">
        <v>0.0018400410013771264</v>
      </c>
      <c r="E412" s="110">
        <v>2.006941200373111</v>
      </c>
      <c r="F412" s="83" t="s">
        <v>1378</v>
      </c>
      <c r="G412" s="83" t="b">
        <v>0</v>
      </c>
      <c r="H412" s="83" t="b">
        <v>0</v>
      </c>
      <c r="I412" s="83" t="b">
        <v>0</v>
      </c>
      <c r="J412" s="83" t="b">
        <v>0</v>
      </c>
      <c r="K412" s="83" t="b">
        <v>0</v>
      </c>
      <c r="L412" s="83" t="b">
        <v>0</v>
      </c>
    </row>
    <row r="413" spans="1:12" ht="15">
      <c r="A413" s="84" t="s">
        <v>1567</v>
      </c>
      <c r="B413" s="83" t="s">
        <v>1436</v>
      </c>
      <c r="C413" s="83">
        <v>2</v>
      </c>
      <c r="D413" s="110">
        <v>0.0018400410013771264</v>
      </c>
      <c r="E413" s="110">
        <v>1.7181456611261412</v>
      </c>
      <c r="F413" s="83" t="s">
        <v>1378</v>
      </c>
      <c r="G413" s="83" t="b">
        <v>0</v>
      </c>
      <c r="H413" s="83" t="b">
        <v>0</v>
      </c>
      <c r="I413" s="83" t="b">
        <v>0</v>
      </c>
      <c r="J413" s="83" t="b">
        <v>0</v>
      </c>
      <c r="K413" s="83" t="b">
        <v>0</v>
      </c>
      <c r="L413" s="83" t="b">
        <v>0</v>
      </c>
    </row>
    <row r="414" spans="1:12" ht="15">
      <c r="A414" s="84" t="s">
        <v>1436</v>
      </c>
      <c r="B414" s="83" t="s">
        <v>1469</v>
      </c>
      <c r="C414" s="83">
        <v>2</v>
      </c>
      <c r="D414" s="110">
        <v>0.0018400410013771264</v>
      </c>
      <c r="E414" s="110">
        <v>1.4171156654621602</v>
      </c>
      <c r="F414" s="83" t="s">
        <v>1378</v>
      </c>
      <c r="G414" s="83" t="b">
        <v>0</v>
      </c>
      <c r="H414" s="83" t="b">
        <v>0</v>
      </c>
      <c r="I414" s="83" t="b">
        <v>0</v>
      </c>
      <c r="J414" s="83" t="b">
        <v>0</v>
      </c>
      <c r="K414" s="83" t="b">
        <v>0</v>
      </c>
      <c r="L414" s="83" t="b">
        <v>0</v>
      </c>
    </row>
    <row r="415" spans="1:12" ht="15">
      <c r="A415" s="84" t="s">
        <v>1821</v>
      </c>
      <c r="B415" s="83" t="s">
        <v>1822</v>
      </c>
      <c r="C415" s="83">
        <v>2</v>
      </c>
      <c r="D415" s="110">
        <v>0.0018400410013771264</v>
      </c>
      <c r="E415" s="110">
        <v>2.9611837098124356</v>
      </c>
      <c r="F415" s="83" t="s">
        <v>1378</v>
      </c>
      <c r="G415" s="83" t="b">
        <v>0</v>
      </c>
      <c r="H415" s="83" t="b">
        <v>0</v>
      </c>
      <c r="I415" s="83" t="b">
        <v>0</v>
      </c>
      <c r="J415" s="83" t="b">
        <v>0</v>
      </c>
      <c r="K415" s="83" t="b">
        <v>0</v>
      </c>
      <c r="L415" s="83" t="b">
        <v>0</v>
      </c>
    </row>
    <row r="416" spans="1:12" ht="15">
      <c r="A416" s="84" t="s">
        <v>1824</v>
      </c>
      <c r="B416" s="83" t="s">
        <v>1449</v>
      </c>
      <c r="C416" s="83">
        <v>2</v>
      </c>
      <c r="D416" s="110">
        <v>0.0021484733739836645</v>
      </c>
      <c r="E416" s="110">
        <v>2.220821020318192</v>
      </c>
      <c r="F416" s="83" t="s">
        <v>1378</v>
      </c>
      <c r="G416" s="83" t="b">
        <v>0</v>
      </c>
      <c r="H416" s="83" t="b">
        <v>0</v>
      </c>
      <c r="I416" s="83" t="b">
        <v>0</v>
      </c>
      <c r="J416" s="83" t="b">
        <v>0</v>
      </c>
      <c r="K416" s="83" t="b">
        <v>0</v>
      </c>
      <c r="L416" s="83" t="b">
        <v>0</v>
      </c>
    </row>
    <row r="417" spans="1:12" ht="15">
      <c r="A417" s="84" t="s">
        <v>1430</v>
      </c>
      <c r="B417" s="83" t="s">
        <v>1430</v>
      </c>
      <c r="C417" s="83">
        <v>2</v>
      </c>
      <c r="D417" s="110">
        <v>0.0018400410013771264</v>
      </c>
      <c r="E417" s="110">
        <v>0.3379344194145353</v>
      </c>
      <c r="F417" s="83" t="s">
        <v>1378</v>
      </c>
      <c r="G417" s="83" t="b">
        <v>0</v>
      </c>
      <c r="H417" s="83" t="b">
        <v>0</v>
      </c>
      <c r="I417" s="83" t="b">
        <v>0</v>
      </c>
      <c r="J417" s="83" t="b">
        <v>0</v>
      </c>
      <c r="K417" s="83" t="b">
        <v>0</v>
      </c>
      <c r="L417" s="83" t="b">
        <v>0</v>
      </c>
    </row>
    <row r="418" spans="1:12" ht="15">
      <c r="A418" s="84" t="s">
        <v>1429</v>
      </c>
      <c r="B418" s="83" t="s">
        <v>1464</v>
      </c>
      <c r="C418" s="83">
        <v>2</v>
      </c>
      <c r="D418" s="110">
        <v>0.0018400410013771264</v>
      </c>
      <c r="E418" s="110">
        <v>0.892997848066274</v>
      </c>
      <c r="F418" s="83" t="s">
        <v>1378</v>
      </c>
      <c r="G418" s="83" t="b">
        <v>0</v>
      </c>
      <c r="H418" s="83" t="b">
        <v>0</v>
      </c>
      <c r="I418" s="83" t="b">
        <v>0</v>
      </c>
      <c r="J418" s="83" t="b">
        <v>0</v>
      </c>
      <c r="K418" s="83" t="b">
        <v>0</v>
      </c>
      <c r="L418" s="83" t="b">
        <v>0</v>
      </c>
    </row>
    <row r="419" spans="1:12" ht="15">
      <c r="A419" s="84" t="s">
        <v>1654</v>
      </c>
      <c r="B419" s="83" t="s">
        <v>1449</v>
      </c>
      <c r="C419" s="83">
        <v>2</v>
      </c>
      <c r="D419" s="110">
        <v>0.0021484733739836645</v>
      </c>
      <c r="E419" s="110">
        <v>2.0447297612625106</v>
      </c>
      <c r="F419" s="83" t="s">
        <v>1378</v>
      </c>
      <c r="G419" s="83" t="b">
        <v>0</v>
      </c>
      <c r="H419" s="83" t="b">
        <v>0</v>
      </c>
      <c r="I419" s="83" t="b">
        <v>0</v>
      </c>
      <c r="J419" s="83" t="b">
        <v>0</v>
      </c>
      <c r="K419" s="83" t="b">
        <v>0</v>
      </c>
      <c r="L419" s="83" t="b">
        <v>0</v>
      </c>
    </row>
    <row r="420" spans="1:12" ht="15">
      <c r="A420" s="84" t="s">
        <v>1775</v>
      </c>
      <c r="B420" s="83" t="s">
        <v>1592</v>
      </c>
      <c r="C420" s="83">
        <v>2</v>
      </c>
      <c r="D420" s="110">
        <v>0.0021484733739836645</v>
      </c>
      <c r="E420" s="110">
        <v>2.6601537141484544</v>
      </c>
      <c r="F420" s="83" t="s">
        <v>1378</v>
      </c>
      <c r="G420" s="83" t="b">
        <v>0</v>
      </c>
      <c r="H420" s="83" t="b">
        <v>0</v>
      </c>
      <c r="I420" s="83" t="b">
        <v>0</v>
      </c>
      <c r="J420" s="83" t="b">
        <v>0</v>
      </c>
      <c r="K420" s="83" t="b">
        <v>0</v>
      </c>
      <c r="L420" s="83" t="b">
        <v>0</v>
      </c>
    </row>
    <row r="421" spans="1:12" ht="15">
      <c r="A421" s="84" t="s">
        <v>1677</v>
      </c>
      <c r="B421" s="83" t="s">
        <v>1429</v>
      </c>
      <c r="C421" s="83">
        <v>2</v>
      </c>
      <c r="D421" s="110">
        <v>0.0018400410013771264</v>
      </c>
      <c r="E421" s="110">
        <v>1.4840624550927732</v>
      </c>
      <c r="F421" s="83" t="s">
        <v>1378</v>
      </c>
      <c r="G421" s="83" t="b">
        <v>0</v>
      </c>
      <c r="H421" s="83" t="b">
        <v>0</v>
      </c>
      <c r="I421" s="83" t="b">
        <v>0</v>
      </c>
      <c r="J421" s="83" t="b">
        <v>0</v>
      </c>
      <c r="K421" s="83" t="b">
        <v>0</v>
      </c>
      <c r="L421" s="83" t="b">
        <v>0</v>
      </c>
    </row>
    <row r="422" spans="1:12" ht="15">
      <c r="A422" s="84" t="s">
        <v>1470</v>
      </c>
      <c r="B422" s="83" t="s">
        <v>1430</v>
      </c>
      <c r="C422" s="83">
        <v>2</v>
      </c>
      <c r="D422" s="110">
        <v>0.0018400410013771264</v>
      </c>
      <c r="E422" s="110">
        <v>1.0948963707282409</v>
      </c>
      <c r="F422" s="83" t="s">
        <v>1378</v>
      </c>
      <c r="G422" s="83" t="b">
        <v>0</v>
      </c>
      <c r="H422" s="83" t="b">
        <v>0</v>
      </c>
      <c r="I422" s="83" t="b">
        <v>0</v>
      </c>
      <c r="J422" s="83" t="b">
        <v>0</v>
      </c>
      <c r="K422" s="83" t="b">
        <v>0</v>
      </c>
      <c r="L422" s="83" t="b">
        <v>0</v>
      </c>
    </row>
    <row r="423" spans="1:12" ht="15">
      <c r="A423" s="84" t="s">
        <v>1500</v>
      </c>
      <c r="B423" s="83" t="s">
        <v>1431</v>
      </c>
      <c r="C423" s="83">
        <v>2</v>
      </c>
      <c r="D423" s="110">
        <v>0.0018400410013771264</v>
      </c>
      <c r="E423" s="110">
        <v>1.4171156654621602</v>
      </c>
      <c r="F423" s="83" t="s">
        <v>1378</v>
      </c>
      <c r="G423" s="83" t="b">
        <v>0</v>
      </c>
      <c r="H423" s="83" t="b">
        <v>0</v>
      </c>
      <c r="I423" s="83" t="b">
        <v>0</v>
      </c>
      <c r="J423" s="83" t="b">
        <v>0</v>
      </c>
      <c r="K423" s="83" t="b">
        <v>0</v>
      </c>
      <c r="L423" s="83" t="b">
        <v>0</v>
      </c>
    </row>
    <row r="424" spans="1:12" ht="15">
      <c r="A424" s="84" t="s">
        <v>1430</v>
      </c>
      <c r="B424" s="83" t="s">
        <v>1487</v>
      </c>
      <c r="C424" s="83">
        <v>2</v>
      </c>
      <c r="D424" s="110">
        <v>0.0018400410013771264</v>
      </c>
      <c r="E424" s="110">
        <v>1.3591237184844733</v>
      </c>
      <c r="F424" s="83" t="s">
        <v>1378</v>
      </c>
      <c r="G424" s="83" t="b">
        <v>0</v>
      </c>
      <c r="H424" s="83" t="b">
        <v>0</v>
      </c>
      <c r="I424" s="83" t="b">
        <v>0</v>
      </c>
      <c r="J424" s="83" t="b">
        <v>0</v>
      </c>
      <c r="K424" s="83" t="b">
        <v>0</v>
      </c>
      <c r="L424" s="83" t="b">
        <v>0</v>
      </c>
    </row>
    <row r="425" spans="1:12" ht="15">
      <c r="A425" s="84" t="s">
        <v>1487</v>
      </c>
      <c r="B425" s="83" t="s">
        <v>1431</v>
      </c>
      <c r="C425" s="83">
        <v>2</v>
      </c>
      <c r="D425" s="110">
        <v>0.0018400410013771264</v>
      </c>
      <c r="E425" s="110">
        <v>1.5140256784702164</v>
      </c>
      <c r="F425" s="83" t="s">
        <v>1378</v>
      </c>
      <c r="G425" s="83" t="b">
        <v>0</v>
      </c>
      <c r="H425" s="83" t="b">
        <v>0</v>
      </c>
      <c r="I425" s="83" t="b">
        <v>0</v>
      </c>
      <c r="J425" s="83" t="b">
        <v>0</v>
      </c>
      <c r="K425" s="83" t="b">
        <v>0</v>
      </c>
      <c r="L425" s="83" t="b">
        <v>0</v>
      </c>
    </row>
    <row r="426" spans="1:12" ht="15">
      <c r="A426" s="84" t="s">
        <v>1817</v>
      </c>
      <c r="B426" s="83" t="s">
        <v>1681</v>
      </c>
      <c r="C426" s="83">
        <v>2</v>
      </c>
      <c r="D426" s="110">
        <v>0.0018400410013771264</v>
      </c>
      <c r="E426" s="110">
        <v>2.7850924507567543</v>
      </c>
      <c r="F426" s="83" t="s">
        <v>1378</v>
      </c>
      <c r="G426" s="83" t="b">
        <v>1</v>
      </c>
      <c r="H426" s="83" t="b">
        <v>0</v>
      </c>
      <c r="I426" s="83" t="b">
        <v>0</v>
      </c>
      <c r="J426" s="83" t="b">
        <v>0</v>
      </c>
      <c r="K426" s="83" t="b">
        <v>0</v>
      </c>
      <c r="L426" s="83" t="b">
        <v>0</v>
      </c>
    </row>
    <row r="427" spans="1:12" ht="15">
      <c r="A427" s="84" t="s">
        <v>1453</v>
      </c>
      <c r="B427" s="83" t="s">
        <v>1840</v>
      </c>
      <c r="C427" s="83">
        <v>2</v>
      </c>
      <c r="D427" s="110">
        <v>0.0021484733739836645</v>
      </c>
      <c r="E427" s="110">
        <v>2.6601537141484544</v>
      </c>
      <c r="F427" s="83" t="s">
        <v>1378</v>
      </c>
      <c r="G427" s="83" t="b">
        <v>0</v>
      </c>
      <c r="H427" s="83" t="b">
        <v>0</v>
      </c>
      <c r="I427" s="83" t="b">
        <v>0</v>
      </c>
      <c r="J427" s="83" t="b">
        <v>0</v>
      </c>
      <c r="K427" s="83" t="b">
        <v>0</v>
      </c>
      <c r="L427" s="83" t="b">
        <v>0</v>
      </c>
    </row>
    <row r="428" spans="1:12" ht="15">
      <c r="A428" s="84" t="s">
        <v>1840</v>
      </c>
      <c r="B428" s="83" t="s">
        <v>1841</v>
      </c>
      <c r="C428" s="83">
        <v>2</v>
      </c>
      <c r="D428" s="110">
        <v>0.0021484733739836645</v>
      </c>
      <c r="E428" s="110">
        <v>2.9611837098124356</v>
      </c>
      <c r="F428" s="83" t="s">
        <v>1378</v>
      </c>
      <c r="G428" s="83" t="b">
        <v>0</v>
      </c>
      <c r="H428" s="83" t="b">
        <v>0</v>
      </c>
      <c r="I428" s="83" t="b">
        <v>0</v>
      </c>
      <c r="J428" s="83" t="b">
        <v>0</v>
      </c>
      <c r="K428" s="83" t="b">
        <v>0</v>
      </c>
      <c r="L428" s="83" t="b">
        <v>0</v>
      </c>
    </row>
    <row r="429" spans="1:12" ht="15">
      <c r="A429" s="84" t="s">
        <v>1472</v>
      </c>
      <c r="B429" s="83" t="s">
        <v>1431</v>
      </c>
      <c r="C429" s="83">
        <v>2</v>
      </c>
      <c r="D429" s="110">
        <v>0.0021484733739836645</v>
      </c>
      <c r="E429" s="110">
        <v>1.161843160358854</v>
      </c>
      <c r="F429" s="83" t="s">
        <v>1378</v>
      </c>
      <c r="G429" s="83" t="b">
        <v>0</v>
      </c>
      <c r="H429" s="83" t="b">
        <v>0</v>
      </c>
      <c r="I429" s="83" t="b">
        <v>0</v>
      </c>
      <c r="J429" s="83" t="b">
        <v>0</v>
      </c>
      <c r="K429" s="83" t="b">
        <v>0</v>
      </c>
      <c r="L429" s="83" t="b">
        <v>0</v>
      </c>
    </row>
    <row r="430" spans="1:12" ht="15">
      <c r="A430" s="84" t="s">
        <v>1430</v>
      </c>
      <c r="B430" s="83" t="s">
        <v>1428</v>
      </c>
      <c r="C430" s="83">
        <v>2</v>
      </c>
      <c r="D430" s="110">
        <v>0.0018400410013771264</v>
      </c>
      <c r="E430" s="110">
        <v>0.14163977427056698</v>
      </c>
      <c r="F430" s="83" t="s">
        <v>1378</v>
      </c>
      <c r="G430" s="83" t="b">
        <v>0</v>
      </c>
      <c r="H430" s="83" t="b">
        <v>0</v>
      </c>
      <c r="I430" s="83" t="b">
        <v>0</v>
      </c>
      <c r="J430" s="83" t="b">
        <v>0</v>
      </c>
      <c r="K430" s="83" t="b">
        <v>0</v>
      </c>
      <c r="L430" s="83" t="b">
        <v>0</v>
      </c>
    </row>
    <row r="431" spans="1:12" ht="15">
      <c r="A431" s="84" t="s">
        <v>1706</v>
      </c>
      <c r="B431" s="83" t="s">
        <v>1447</v>
      </c>
      <c r="C431" s="83">
        <v>2</v>
      </c>
      <c r="D431" s="110">
        <v>0.0018400410013771264</v>
      </c>
      <c r="E431" s="110">
        <v>2.1318799369814108</v>
      </c>
      <c r="F431" s="83" t="s">
        <v>1378</v>
      </c>
      <c r="G431" s="83" t="b">
        <v>0</v>
      </c>
      <c r="H431" s="83" t="b">
        <v>0</v>
      </c>
      <c r="I431" s="83" t="b">
        <v>0</v>
      </c>
      <c r="J431" s="83" t="b">
        <v>0</v>
      </c>
      <c r="K431" s="83" t="b">
        <v>0</v>
      </c>
      <c r="L431" s="83" t="b">
        <v>0</v>
      </c>
    </row>
    <row r="432" spans="1:12" ht="15">
      <c r="A432" s="84" t="s">
        <v>1447</v>
      </c>
      <c r="B432" s="83" t="s">
        <v>1518</v>
      </c>
      <c r="C432" s="83">
        <v>2</v>
      </c>
      <c r="D432" s="110">
        <v>0.0018400410013771264</v>
      </c>
      <c r="E432" s="110">
        <v>1.7850924507567545</v>
      </c>
      <c r="F432" s="83" t="s">
        <v>1378</v>
      </c>
      <c r="G432" s="83" t="b">
        <v>0</v>
      </c>
      <c r="H432" s="83" t="b">
        <v>0</v>
      </c>
      <c r="I432" s="83" t="b">
        <v>0</v>
      </c>
      <c r="J432" s="83" t="b">
        <v>0</v>
      </c>
      <c r="K432" s="83" t="b">
        <v>0</v>
      </c>
      <c r="L432" s="83" t="b">
        <v>0</v>
      </c>
    </row>
    <row r="433" spans="1:12" ht="15">
      <c r="A433" s="84" t="s">
        <v>1530</v>
      </c>
      <c r="B433" s="83" t="s">
        <v>1466</v>
      </c>
      <c r="C433" s="83">
        <v>2</v>
      </c>
      <c r="D433" s="110">
        <v>0.0018400410013771264</v>
      </c>
      <c r="E433" s="110">
        <v>2.0861224464207355</v>
      </c>
      <c r="F433" s="83" t="s">
        <v>1378</v>
      </c>
      <c r="G433" s="83" t="b">
        <v>1</v>
      </c>
      <c r="H433" s="83" t="b">
        <v>0</v>
      </c>
      <c r="I433" s="83" t="b">
        <v>0</v>
      </c>
      <c r="J433" s="83" t="b">
        <v>0</v>
      </c>
      <c r="K433" s="83" t="b">
        <v>0</v>
      </c>
      <c r="L433" s="83" t="b">
        <v>0</v>
      </c>
    </row>
    <row r="434" spans="1:12" ht="15">
      <c r="A434" s="84" t="s">
        <v>1914</v>
      </c>
      <c r="B434" s="83" t="s">
        <v>1486</v>
      </c>
      <c r="C434" s="83">
        <v>2</v>
      </c>
      <c r="D434" s="110">
        <v>0.0021484733739836645</v>
      </c>
      <c r="E434" s="110">
        <v>2.359123718484473</v>
      </c>
      <c r="F434" s="83" t="s">
        <v>1378</v>
      </c>
      <c r="G434" s="83" t="b">
        <v>0</v>
      </c>
      <c r="H434" s="83" t="b">
        <v>0</v>
      </c>
      <c r="I434" s="83" t="b">
        <v>0</v>
      </c>
      <c r="J434" s="83" t="b">
        <v>0</v>
      </c>
      <c r="K434" s="83" t="b">
        <v>0</v>
      </c>
      <c r="L434" s="83" t="b">
        <v>0</v>
      </c>
    </row>
    <row r="435" spans="1:12" ht="15">
      <c r="A435" s="84" t="s">
        <v>1437</v>
      </c>
      <c r="B435" s="83" t="s">
        <v>1578</v>
      </c>
      <c r="C435" s="83">
        <v>2</v>
      </c>
      <c r="D435" s="110">
        <v>0.0018400410013771264</v>
      </c>
      <c r="E435" s="110">
        <v>1.8642736968043792</v>
      </c>
      <c r="F435" s="83" t="s">
        <v>1378</v>
      </c>
      <c r="G435" s="83" t="b">
        <v>0</v>
      </c>
      <c r="H435" s="83" t="b">
        <v>0</v>
      </c>
      <c r="I435" s="83" t="b">
        <v>0</v>
      </c>
      <c r="J435" s="83" t="b">
        <v>0</v>
      </c>
      <c r="K435" s="83" t="b">
        <v>0</v>
      </c>
      <c r="L435" s="83" t="b">
        <v>0</v>
      </c>
    </row>
    <row r="436" spans="1:12" ht="15">
      <c r="A436" s="84" t="s">
        <v>1432</v>
      </c>
      <c r="B436" s="83" t="s">
        <v>1603</v>
      </c>
      <c r="C436" s="83">
        <v>2</v>
      </c>
      <c r="D436" s="110">
        <v>0.0018400410013771264</v>
      </c>
      <c r="E436" s="110">
        <v>1.7059112047091296</v>
      </c>
      <c r="F436" s="83" t="s">
        <v>1378</v>
      </c>
      <c r="G436" s="83" t="b">
        <v>0</v>
      </c>
      <c r="H436" s="83" t="b">
        <v>0</v>
      </c>
      <c r="I436" s="83" t="b">
        <v>0</v>
      </c>
      <c r="J436" s="83" t="b">
        <v>0</v>
      </c>
      <c r="K436" s="83" t="b">
        <v>0</v>
      </c>
      <c r="L436" s="83" t="b">
        <v>0</v>
      </c>
    </row>
    <row r="437" spans="1:12" ht="15">
      <c r="A437" s="84" t="s">
        <v>1603</v>
      </c>
      <c r="B437" s="83" t="s">
        <v>1642</v>
      </c>
      <c r="C437" s="83">
        <v>2</v>
      </c>
      <c r="D437" s="110">
        <v>0.0018400410013771264</v>
      </c>
      <c r="E437" s="110">
        <v>2.359123718484473</v>
      </c>
      <c r="F437" s="83" t="s">
        <v>1378</v>
      </c>
      <c r="G437" s="83" t="b">
        <v>0</v>
      </c>
      <c r="H437" s="83" t="b">
        <v>0</v>
      </c>
      <c r="I437" s="83" t="b">
        <v>0</v>
      </c>
      <c r="J437" s="83" t="b">
        <v>0</v>
      </c>
      <c r="K437" s="83" t="b">
        <v>0</v>
      </c>
      <c r="L437" s="83" t="b">
        <v>0</v>
      </c>
    </row>
    <row r="438" spans="1:12" ht="15">
      <c r="A438" s="84" t="s">
        <v>1642</v>
      </c>
      <c r="B438" s="83" t="s">
        <v>1540</v>
      </c>
      <c r="C438" s="83">
        <v>2</v>
      </c>
      <c r="D438" s="110">
        <v>0.0018400410013771264</v>
      </c>
      <c r="E438" s="110">
        <v>2.6601537141484544</v>
      </c>
      <c r="F438" s="83" t="s">
        <v>1378</v>
      </c>
      <c r="G438" s="83" t="b">
        <v>0</v>
      </c>
      <c r="H438" s="83" t="b">
        <v>0</v>
      </c>
      <c r="I438" s="83" t="b">
        <v>0</v>
      </c>
      <c r="J438" s="83" t="b">
        <v>0</v>
      </c>
      <c r="K438" s="83" t="b">
        <v>0</v>
      </c>
      <c r="L438" s="83" t="b">
        <v>0</v>
      </c>
    </row>
    <row r="439" spans="1:12" ht="15">
      <c r="A439" s="84" t="s">
        <v>1540</v>
      </c>
      <c r="B439" s="83" t="s">
        <v>2018</v>
      </c>
      <c r="C439" s="83">
        <v>2</v>
      </c>
      <c r="D439" s="110">
        <v>0.0018400410013771264</v>
      </c>
      <c r="E439" s="110">
        <v>2.7850924507567543</v>
      </c>
      <c r="F439" s="83" t="s">
        <v>1378</v>
      </c>
      <c r="G439" s="83" t="b">
        <v>0</v>
      </c>
      <c r="H439" s="83" t="b">
        <v>0</v>
      </c>
      <c r="I439" s="83" t="b">
        <v>0</v>
      </c>
      <c r="J439" s="83" t="b">
        <v>0</v>
      </c>
      <c r="K439" s="83" t="b">
        <v>0</v>
      </c>
      <c r="L439" s="83" t="b">
        <v>0</v>
      </c>
    </row>
    <row r="440" spans="1:12" ht="15">
      <c r="A440" s="84" t="s">
        <v>2018</v>
      </c>
      <c r="B440" s="83" t="s">
        <v>1731</v>
      </c>
      <c r="C440" s="83">
        <v>2</v>
      </c>
      <c r="D440" s="110">
        <v>0.0018400410013771264</v>
      </c>
      <c r="E440" s="110">
        <v>2.7850924507567543</v>
      </c>
      <c r="F440" s="83" t="s">
        <v>1378</v>
      </c>
      <c r="G440" s="83" t="b">
        <v>0</v>
      </c>
      <c r="H440" s="83" t="b">
        <v>0</v>
      </c>
      <c r="I440" s="83" t="b">
        <v>0</v>
      </c>
      <c r="J440" s="83" t="b">
        <v>0</v>
      </c>
      <c r="K440" s="83" t="b">
        <v>0</v>
      </c>
      <c r="L440" s="83" t="b">
        <v>0</v>
      </c>
    </row>
    <row r="441" spans="1:12" ht="15">
      <c r="A441" s="84" t="s">
        <v>1731</v>
      </c>
      <c r="B441" s="83" t="s">
        <v>1578</v>
      </c>
      <c r="C441" s="83">
        <v>2</v>
      </c>
      <c r="D441" s="110">
        <v>0.0018400410013771264</v>
      </c>
      <c r="E441" s="110">
        <v>2.3871524420847168</v>
      </c>
      <c r="F441" s="83" t="s">
        <v>1378</v>
      </c>
      <c r="G441" s="83" t="b">
        <v>0</v>
      </c>
      <c r="H441" s="83" t="b">
        <v>0</v>
      </c>
      <c r="I441" s="83" t="b">
        <v>0</v>
      </c>
      <c r="J441" s="83" t="b">
        <v>0</v>
      </c>
      <c r="K441" s="83" t="b">
        <v>0</v>
      </c>
      <c r="L441" s="83" t="b">
        <v>0</v>
      </c>
    </row>
    <row r="442" spans="1:12" ht="15">
      <c r="A442" s="84" t="s">
        <v>1432</v>
      </c>
      <c r="B442" s="83" t="s">
        <v>1478</v>
      </c>
      <c r="C442" s="83">
        <v>2</v>
      </c>
      <c r="D442" s="110">
        <v>0.0018400410013771264</v>
      </c>
      <c r="E442" s="110">
        <v>1.5298199456534485</v>
      </c>
      <c r="F442" s="83" t="s">
        <v>1378</v>
      </c>
      <c r="G442" s="83" t="b">
        <v>0</v>
      </c>
      <c r="H442" s="83" t="b">
        <v>0</v>
      </c>
      <c r="I442" s="83" t="b">
        <v>0</v>
      </c>
      <c r="J442" s="83" t="b">
        <v>0</v>
      </c>
      <c r="K442" s="83" t="b">
        <v>0</v>
      </c>
      <c r="L442" s="83" t="b">
        <v>0</v>
      </c>
    </row>
    <row r="443" spans="1:12" ht="15">
      <c r="A443" s="84" t="s">
        <v>1478</v>
      </c>
      <c r="B443" s="83" t="s">
        <v>1642</v>
      </c>
      <c r="C443" s="83">
        <v>2</v>
      </c>
      <c r="D443" s="110">
        <v>0.0018400410013771264</v>
      </c>
      <c r="E443" s="110">
        <v>2.183032459428792</v>
      </c>
      <c r="F443" s="83" t="s">
        <v>1378</v>
      </c>
      <c r="G443" s="83" t="b">
        <v>0</v>
      </c>
      <c r="H443" s="83" t="b">
        <v>0</v>
      </c>
      <c r="I443" s="83" t="b">
        <v>0</v>
      </c>
      <c r="J443" s="83" t="b">
        <v>0</v>
      </c>
      <c r="K443" s="83" t="b">
        <v>0</v>
      </c>
      <c r="L443" s="83" t="b">
        <v>0</v>
      </c>
    </row>
    <row r="444" spans="1:12" ht="15">
      <c r="A444" s="84" t="s">
        <v>1474</v>
      </c>
      <c r="B444" s="83" t="s">
        <v>1478</v>
      </c>
      <c r="C444" s="83">
        <v>2</v>
      </c>
      <c r="D444" s="110">
        <v>0.0018400410013771264</v>
      </c>
      <c r="E444" s="110">
        <v>1.8308499413174295</v>
      </c>
      <c r="F444" s="83" t="s">
        <v>1378</v>
      </c>
      <c r="G444" s="83" t="b">
        <v>0</v>
      </c>
      <c r="H444" s="83" t="b">
        <v>0</v>
      </c>
      <c r="I444" s="83" t="b">
        <v>0</v>
      </c>
      <c r="J444" s="83" t="b">
        <v>0</v>
      </c>
      <c r="K444" s="83" t="b">
        <v>0</v>
      </c>
      <c r="L444" s="83" t="b">
        <v>0</v>
      </c>
    </row>
    <row r="445" spans="1:12" ht="15">
      <c r="A445" s="84" t="s">
        <v>1478</v>
      </c>
      <c r="B445" s="83" t="s">
        <v>1448</v>
      </c>
      <c r="C445" s="83">
        <v>2</v>
      </c>
      <c r="D445" s="110">
        <v>0.0018400410013771264</v>
      </c>
      <c r="E445" s="110">
        <v>1.6389644150785165</v>
      </c>
      <c r="F445" s="83" t="s">
        <v>1378</v>
      </c>
      <c r="G445" s="83" t="b">
        <v>0</v>
      </c>
      <c r="H445" s="83" t="b">
        <v>0</v>
      </c>
      <c r="I445" s="83" t="b">
        <v>0</v>
      </c>
      <c r="J445" s="83" t="b">
        <v>0</v>
      </c>
      <c r="K445" s="83" t="b">
        <v>0</v>
      </c>
      <c r="L445" s="83" t="b">
        <v>0</v>
      </c>
    </row>
    <row r="446" spans="1:12" ht="15">
      <c r="A446" s="84" t="s">
        <v>1444</v>
      </c>
      <c r="B446" s="83" t="s">
        <v>1453</v>
      </c>
      <c r="C446" s="83">
        <v>10</v>
      </c>
      <c r="D446" s="110">
        <v>0.024533540453850543</v>
      </c>
      <c r="E446" s="110">
        <v>1.3180633349627615</v>
      </c>
      <c r="F446" s="83" t="s">
        <v>1380</v>
      </c>
      <c r="G446" s="83" t="b">
        <v>0</v>
      </c>
      <c r="H446" s="83" t="b">
        <v>0</v>
      </c>
      <c r="I446" s="83" t="b">
        <v>0</v>
      </c>
      <c r="J446" s="83" t="b">
        <v>0</v>
      </c>
      <c r="K446" s="83" t="b">
        <v>0</v>
      </c>
      <c r="L446" s="83" t="b">
        <v>0</v>
      </c>
    </row>
    <row r="447" spans="1:12" ht="15">
      <c r="A447" s="84" t="s">
        <v>1453</v>
      </c>
      <c r="B447" s="83" t="s">
        <v>1573</v>
      </c>
      <c r="C447" s="83">
        <v>5</v>
      </c>
      <c r="D447" s="110">
        <v>0.018810900567446602</v>
      </c>
      <c r="E447" s="110">
        <v>1.3180633349627615</v>
      </c>
      <c r="F447" s="83" t="s">
        <v>1380</v>
      </c>
      <c r="G447" s="83" t="b">
        <v>0</v>
      </c>
      <c r="H447" s="83" t="b">
        <v>0</v>
      </c>
      <c r="I447" s="83" t="b">
        <v>0</v>
      </c>
      <c r="J447" s="83" t="b">
        <v>0</v>
      </c>
      <c r="K447" s="83" t="b">
        <v>0</v>
      </c>
      <c r="L447" s="83" t="b">
        <v>0</v>
      </c>
    </row>
    <row r="448" spans="1:12" ht="15">
      <c r="A448" s="84" t="s">
        <v>1573</v>
      </c>
      <c r="B448" s="83" t="s">
        <v>1574</v>
      </c>
      <c r="C448" s="83">
        <v>5</v>
      </c>
      <c r="D448" s="110">
        <v>0.018810900567446602</v>
      </c>
      <c r="E448" s="110">
        <v>1.6190933306267428</v>
      </c>
      <c r="F448" s="83" t="s">
        <v>1380</v>
      </c>
      <c r="G448" s="83" t="b">
        <v>0</v>
      </c>
      <c r="H448" s="83" t="b">
        <v>0</v>
      </c>
      <c r="I448" s="83" t="b">
        <v>0</v>
      </c>
      <c r="J448" s="83" t="b">
        <v>0</v>
      </c>
      <c r="K448" s="83" t="b">
        <v>0</v>
      </c>
      <c r="L448" s="83" t="b">
        <v>0</v>
      </c>
    </row>
    <row r="449" spans="1:12" ht="15">
      <c r="A449" s="84" t="s">
        <v>1597</v>
      </c>
      <c r="B449" s="83" t="s">
        <v>1496</v>
      </c>
      <c r="C449" s="83">
        <v>3</v>
      </c>
      <c r="D449" s="110">
        <v>0.011286540340467962</v>
      </c>
      <c r="E449" s="110">
        <v>1.8409420802430991</v>
      </c>
      <c r="F449" s="83" t="s">
        <v>1380</v>
      </c>
      <c r="G449" s="83" t="b">
        <v>0</v>
      </c>
      <c r="H449" s="83" t="b">
        <v>0</v>
      </c>
      <c r="I449" s="83" t="b">
        <v>0</v>
      </c>
      <c r="J449" s="83" t="b">
        <v>0</v>
      </c>
      <c r="K449" s="83" t="b">
        <v>0</v>
      </c>
      <c r="L449" s="83" t="b">
        <v>0</v>
      </c>
    </row>
    <row r="450" spans="1:12" ht="15">
      <c r="A450" s="84" t="s">
        <v>1496</v>
      </c>
      <c r="B450" s="83" t="s">
        <v>1432</v>
      </c>
      <c r="C450" s="83">
        <v>3</v>
      </c>
      <c r="D450" s="110">
        <v>0.011286540340467962</v>
      </c>
      <c r="E450" s="110">
        <v>1.5399120845791179</v>
      </c>
      <c r="F450" s="83" t="s">
        <v>1380</v>
      </c>
      <c r="G450" s="83" t="b">
        <v>0</v>
      </c>
      <c r="H450" s="83" t="b">
        <v>0</v>
      </c>
      <c r="I450" s="83" t="b">
        <v>0</v>
      </c>
      <c r="J450" s="83" t="b">
        <v>0</v>
      </c>
      <c r="K450" s="83" t="b">
        <v>0</v>
      </c>
      <c r="L450" s="83" t="b">
        <v>0</v>
      </c>
    </row>
    <row r="451" spans="1:12" ht="15">
      <c r="A451" s="84" t="s">
        <v>1428</v>
      </c>
      <c r="B451" s="83" t="s">
        <v>1660</v>
      </c>
      <c r="C451" s="83">
        <v>3</v>
      </c>
      <c r="D451" s="110">
        <v>0.011286540340467962</v>
      </c>
      <c r="E451" s="110">
        <v>1.6190933306267428</v>
      </c>
      <c r="F451" s="83" t="s">
        <v>1380</v>
      </c>
      <c r="G451" s="83" t="b">
        <v>0</v>
      </c>
      <c r="H451" s="83" t="b">
        <v>0</v>
      </c>
      <c r="I451" s="83" t="b">
        <v>0</v>
      </c>
      <c r="J451" s="83" t="b">
        <v>0</v>
      </c>
      <c r="K451" s="83" t="b">
        <v>0</v>
      </c>
      <c r="L451" s="83" t="b">
        <v>0</v>
      </c>
    </row>
    <row r="452" spans="1:12" ht="15">
      <c r="A452" s="84" t="s">
        <v>1660</v>
      </c>
      <c r="B452" s="83" t="s">
        <v>1444</v>
      </c>
      <c r="C452" s="83">
        <v>3</v>
      </c>
      <c r="D452" s="110">
        <v>0.011286540340467962</v>
      </c>
      <c r="E452" s="110">
        <v>1.3180633349627615</v>
      </c>
      <c r="F452" s="83" t="s">
        <v>1380</v>
      </c>
      <c r="G452" s="83" t="b">
        <v>0</v>
      </c>
      <c r="H452" s="83" t="b">
        <v>0</v>
      </c>
      <c r="I452" s="83" t="b">
        <v>0</v>
      </c>
      <c r="J452" s="83" t="b">
        <v>0</v>
      </c>
      <c r="K452" s="83" t="b">
        <v>0</v>
      </c>
      <c r="L452" s="83" t="b">
        <v>0</v>
      </c>
    </row>
    <row r="453" spans="1:12" ht="15">
      <c r="A453" s="84" t="s">
        <v>1453</v>
      </c>
      <c r="B453" s="83" t="s">
        <v>1661</v>
      </c>
      <c r="C453" s="83">
        <v>3</v>
      </c>
      <c r="D453" s="110">
        <v>0.011286540340467962</v>
      </c>
      <c r="E453" s="110">
        <v>1.3180633349627615</v>
      </c>
      <c r="F453" s="83" t="s">
        <v>1380</v>
      </c>
      <c r="G453" s="83" t="b">
        <v>0</v>
      </c>
      <c r="H453" s="83" t="b">
        <v>0</v>
      </c>
      <c r="I453" s="83" t="b">
        <v>0</v>
      </c>
      <c r="J453" s="83" t="b">
        <v>0</v>
      </c>
      <c r="K453" s="83" t="b">
        <v>0</v>
      </c>
      <c r="L453" s="83" t="b">
        <v>0</v>
      </c>
    </row>
    <row r="454" spans="1:12" ht="15">
      <c r="A454" s="84" t="s">
        <v>1661</v>
      </c>
      <c r="B454" s="83" t="s">
        <v>1662</v>
      </c>
      <c r="C454" s="83">
        <v>3</v>
      </c>
      <c r="D454" s="110">
        <v>0.011286540340467962</v>
      </c>
      <c r="E454" s="110">
        <v>1.8409420802430991</v>
      </c>
      <c r="F454" s="83" t="s">
        <v>1380</v>
      </c>
      <c r="G454" s="83" t="b">
        <v>0</v>
      </c>
      <c r="H454" s="83" t="b">
        <v>0</v>
      </c>
      <c r="I454" s="83" t="b">
        <v>0</v>
      </c>
      <c r="J454" s="83" t="b">
        <v>0</v>
      </c>
      <c r="K454" s="83" t="b">
        <v>0</v>
      </c>
      <c r="L454" s="83" t="b">
        <v>0</v>
      </c>
    </row>
    <row r="455" spans="1:12" ht="15">
      <c r="A455" s="84" t="s">
        <v>1662</v>
      </c>
      <c r="B455" s="83" t="s">
        <v>1432</v>
      </c>
      <c r="C455" s="83">
        <v>3</v>
      </c>
      <c r="D455" s="110">
        <v>0.011286540340467962</v>
      </c>
      <c r="E455" s="110">
        <v>1.5399120845791179</v>
      </c>
      <c r="F455" s="83" t="s">
        <v>1380</v>
      </c>
      <c r="G455" s="83" t="b">
        <v>0</v>
      </c>
      <c r="H455" s="83" t="b">
        <v>0</v>
      </c>
      <c r="I455" s="83" t="b">
        <v>0</v>
      </c>
      <c r="J455" s="83" t="b">
        <v>0</v>
      </c>
      <c r="K455" s="83" t="b">
        <v>0</v>
      </c>
      <c r="L455" s="83" t="b">
        <v>0</v>
      </c>
    </row>
    <row r="456" spans="1:12" ht="15">
      <c r="A456" s="84" t="s">
        <v>1432</v>
      </c>
      <c r="B456" s="83" t="s">
        <v>1663</v>
      </c>
      <c r="C456" s="83">
        <v>3</v>
      </c>
      <c r="D456" s="110">
        <v>0.011286540340467962</v>
      </c>
      <c r="E456" s="110">
        <v>1.5399120845791179</v>
      </c>
      <c r="F456" s="83" t="s">
        <v>1380</v>
      </c>
      <c r="G456" s="83" t="b">
        <v>0</v>
      </c>
      <c r="H456" s="83" t="b">
        <v>0</v>
      </c>
      <c r="I456" s="83" t="b">
        <v>0</v>
      </c>
      <c r="J456" s="83" t="b">
        <v>0</v>
      </c>
      <c r="K456" s="83" t="b">
        <v>0</v>
      </c>
      <c r="L456" s="83" t="b">
        <v>0</v>
      </c>
    </row>
    <row r="457" spans="1:12" ht="15">
      <c r="A457" s="84" t="s">
        <v>1436</v>
      </c>
      <c r="B457" s="83" t="s">
        <v>1700</v>
      </c>
      <c r="C457" s="83">
        <v>3</v>
      </c>
      <c r="D457" s="110">
        <v>0.011286540340467962</v>
      </c>
      <c r="E457" s="110">
        <v>1.7160033436347992</v>
      </c>
      <c r="F457" s="83" t="s">
        <v>1380</v>
      </c>
      <c r="G457" s="83" t="b">
        <v>0</v>
      </c>
      <c r="H457" s="83" t="b">
        <v>0</v>
      </c>
      <c r="I457" s="83" t="b">
        <v>0</v>
      </c>
      <c r="J457" s="83" t="b">
        <v>0</v>
      </c>
      <c r="K457" s="83" t="b">
        <v>0</v>
      </c>
      <c r="L457" s="83" t="b">
        <v>0</v>
      </c>
    </row>
    <row r="458" spans="1:12" ht="15">
      <c r="A458" s="84" t="s">
        <v>1589</v>
      </c>
      <c r="B458" s="83" t="s">
        <v>1768</v>
      </c>
      <c r="C458" s="83">
        <v>2</v>
      </c>
      <c r="D458" s="110">
        <v>0.009055588566593262</v>
      </c>
      <c r="E458" s="110">
        <v>2.0170333392987803</v>
      </c>
      <c r="F458" s="83" t="s">
        <v>1380</v>
      </c>
      <c r="G458" s="83" t="b">
        <v>0</v>
      </c>
      <c r="H458" s="83" t="b">
        <v>0</v>
      </c>
      <c r="I458" s="83" t="b">
        <v>0</v>
      </c>
      <c r="J458" s="83" t="b">
        <v>0</v>
      </c>
      <c r="K458" s="83" t="b">
        <v>0</v>
      </c>
      <c r="L458" s="83" t="b">
        <v>0</v>
      </c>
    </row>
    <row r="459" spans="1:12" ht="15">
      <c r="A459" s="84" t="s">
        <v>1456</v>
      </c>
      <c r="B459" s="83" t="s">
        <v>1770</v>
      </c>
      <c r="C459" s="83">
        <v>2</v>
      </c>
      <c r="D459" s="110">
        <v>0.009055588566593262</v>
      </c>
      <c r="E459" s="110">
        <v>1.8409420802430991</v>
      </c>
      <c r="F459" s="83" t="s">
        <v>1380</v>
      </c>
      <c r="G459" s="83" t="b">
        <v>1</v>
      </c>
      <c r="H459" s="83" t="b">
        <v>0</v>
      </c>
      <c r="I459" s="83" t="b">
        <v>0</v>
      </c>
      <c r="J459" s="83" t="b">
        <v>0</v>
      </c>
      <c r="K459" s="83" t="b">
        <v>0</v>
      </c>
      <c r="L459" s="83" t="b">
        <v>0</v>
      </c>
    </row>
    <row r="460" spans="1:12" ht="15">
      <c r="A460" s="84" t="s">
        <v>1770</v>
      </c>
      <c r="B460" s="83" t="s">
        <v>1648</v>
      </c>
      <c r="C460" s="83">
        <v>2</v>
      </c>
      <c r="D460" s="110">
        <v>0.009055588566593262</v>
      </c>
      <c r="E460" s="110">
        <v>2.0170333392987803</v>
      </c>
      <c r="F460" s="83" t="s">
        <v>1380</v>
      </c>
      <c r="G460" s="83" t="b">
        <v>0</v>
      </c>
      <c r="H460" s="83" t="b">
        <v>0</v>
      </c>
      <c r="I460" s="83" t="b">
        <v>0</v>
      </c>
      <c r="J460" s="83" t="b">
        <v>0</v>
      </c>
      <c r="K460" s="83" t="b">
        <v>0</v>
      </c>
      <c r="L460" s="83" t="b">
        <v>0</v>
      </c>
    </row>
    <row r="461" spans="1:12" ht="15">
      <c r="A461" s="84" t="s">
        <v>1648</v>
      </c>
      <c r="B461" s="83" t="s">
        <v>1476</v>
      </c>
      <c r="C461" s="83">
        <v>2</v>
      </c>
      <c r="D461" s="110">
        <v>0.009055588566593262</v>
      </c>
      <c r="E461" s="110">
        <v>2.0170333392987803</v>
      </c>
      <c r="F461" s="83" t="s">
        <v>1380</v>
      </c>
      <c r="G461" s="83" t="b">
        <v>0</v>
      </c>
      <c r="H461" s="83" t="b">
        <v>0</v>
      </c>
      <c r="I461" s="83" t="b">
        <v>0</v>
      </c>
      <c r="J461" s="83" t="b">
        <v>0</v>
      </c>
      <c r="K461" s="83" t="b">
        <v>0</v>
      </c>
      <c r="L461" s="83" t="b">
        <v>0</v>
      </c>
    </row>
    <row r="462" spans="1:12" ht="15">
      <c r="A462" s="84" t="s">
        <v>1432</v>
      </c>
      <c r="B462" s="83" t="s">
        <v>1781</v>
      </c>
      <c r="C462" s="83">
        <v>2</v>
      </c>
      <c r="D462" s="110">
        <v>0.009055588566593262</v>
      </c>
      <c r="E462" s="110">
        <v>1.5399120845791179</v>
      </c>
      <c r="F462" s="83" t="s">
        <v>1380</v>
      </c>
      <c r="G462" s="83" t="b">
        <v>0</v>
      </c>
      <c r="H462" s="83" t="b">
        <v>0</v>
      </c>
      <c r="I462" s="83" t="b">
        <v>0</v>
      </c>
      <c r="J462" s="83" t="b">
        <v>0</v>
      </c>
      <c r="K462" s="83" t="b">
        <v>0</v>
      </c>
      <c r="L462" s="83" t="b">
        <v>0</v>
      </c>
    </row>
    <row r="463" spans="1:12" ht="15">
      <c r="A463" s="84" t="s">
        <v>1781</v>
      </c>
      <c r="B463" s="83" t="s">
        <v>1428</v>
      </c>
      <c r="C463" s="83">
        <v>2</v>
      </c>
      <c r="D463" s="110">
        <v>0.009055588566593262</v>
      </c>
      <c r="E463" s="110">
        <v>1.5399120845791179</v>
      </c>
      <c r="F463" s="83" t="s">
        <v>1380</v>
      </c>
      <c r="G463" s="83" t="b">
        <v>0</v>
      </c>
      <c r="H463" s="83" t="b">
        <v>0</v>
      </c>
      <c r="I463" s="83" t="b">
        <v>0</v>
      </c>
      <c r="J463" s="83" t="b">
        <v>0</v>
      </c>
      <c r="K463" s="83" t="b">
        <v>0</v>
      </c>
      <c r="L463" s="83" t="b">
        <v>0</v>
      </c>
    </row>
    <row r="464" spans="1:12" ht="15">
      <c r="A464" s="84" t="s">
        <v>1866</v>
      </c>
      <c r="B464" s="83" t="s">
        <v>1512</v>
      </c>
      <c r="C464" s="83">
        <v>2</v>
      </c>
      <c r="D464" s="110">
        <v>0.009055588566593262</v>
      </c>
      <c r="E464" s="110">
        <v>1.8409420802430991</v>
      </c>
      <c r="F464" s="83" t="s">
        <v>1380</v>
      </c>
      <c r="G464" s="83" t="b">
        <v>1</v>
      </c>
      <c r="H464" s="83" t="b">
        <v>0</v>
      </c>
      <c r="I464" s="83" t="b">
        <v>0</v>
      </c>
      <c r="J464" s="83" t="b">
        <v>0</v>
      </c>
      <c r="K464" s="83" t="b">
        <v>0</v>
      </c>
      <c r="L464" s="83" t="b">
        <v>0</v>
      </c>
    </row>
    <row r="465" spans="1:12" ht="15">
      <c r="A465" s="84" t="s">
        <v>1512</v>
      </c>
      <c r="B465" s="83" t="s">
        <v>1867</v>
      </c>
      <c r="C465" s="83">
        <v>2</v>
      </c>
      <c r="D465" s="110">
        <v>0.009055588566593262</v>
      </c>
      <c r="E465" s="110">
        <v>1.8409420802430991</v>
      </c>
      <c r="F465" s="83" t="s">
        <v>1380</v>
      </c>
      <c r="G465" s="83" t="b">
        <v>0</v>
      </c>
      <c r="H465" s="83" t="b">
        <v>0</v>
      </c>
      <c r="I465" s="83" t="b">
        <v>0</v>
      </c>
      <c r="J465" s="83" t="b">
        <v>0</v>
      </c>
      <c r="K465" s="83" t="b">
        <v>0</v>
      </c>
      <c r="L465" s="83" t="b">
        <v>0</v>
      </c>
    </row>
    <row r="466" spans="1:12" ht="15">
      <c r="A466" s="84" t="s">
        <v>1867</v>
      </c>
      <c r="B466" s="83" t="s">
        <v>1431</v>
      </c>
      <c r="C466" s="83">
        <v>2</v>
      </c>
      <c r="D466" s="110">
        <v>0.009055588566593262</v>
      </c>
      <c r="E466" s="110">
        <v>1.7160033436347992</v>
      </c>
      <c r="F466" s="83" t="s">
        <v>1380</v>
      </c>
      <c r="G466" s="83" t="b">
        <v>0</v>
      </c>
      <c r="H466" s="83" t="b">
        <v>0</v>
      </c>
      <c r="I466" s="83" t="b">
        <v>0</v>
      </c>
      <c r="J466" s="83" t="b">
        <v>0</v>
      </c>
      <c r="K466" s="83" t="b">
        <v>0</v>
      </c>
      <c r="L466" s="83" t="b">
        <v>0</v>
      </c>
    </row>
    <row r="467" spans="1:12" ht="15">
      <c r="A467" s="84" t="s">
        <v>1431</v>
      </c>
      <c r="B467" s="83" t="s">
        <v>1699</v>
      </c>
      <c r="C467" s="83">
        <v>2</v>
      </c>
      <c r="D467" s="110">
        <v>0.009055588566593262</v>
      </c>
      <c r="E467" s="110">
        <v>1.5399120845791179</v>
      </c>
      <c r="F467" s="83" t="s">
        <v>1380</v>
      </c>
      <c r="G467" s="83" t="b">
        <v>0</v>
      </c>
      <c r="H467" s="83" t="b">
        <v>0</v>
      </c>
      <c r="I467" s="83" t="b">
        <v>0</v>
      </c>
      <c r="J467" s="83" t="b">
        <v>0</v>
      </c>
      <c r="K467" s="83" t="b">
        <v>0</v>
      </c>
      <c r="L467" s="83" t="b">
        <v>0</v>
      </c>
    </row>
    <row r="468" spans="1:12" ht="15">
      <c r="A468" s="84" t="s">
        <v>1699</v>
      </c>
      <c r="B468" s="83" t="s">
        <v>1868</v>
      </c>
      <c r="C468" s="83">
        <v>2</v>
      </c>
      <c r="D468" s="110">
        <v>0.009055588566593262</v>
      </c>
      <c r="E468" s="110">
        <v>1.8409420802430991</v>
      </c>
      <c r="F468" s="83" t="s">
        <v>1380</v>
      </c>
      <c r="G468" s="83" t="b">
        <v>0</v>
      </c>
      <c r="H468" s="83" t="b">
        <v>0</v>
      </c>
      <c r="I468" s="83" t="b">
        <v>0</v>
      </c>
      <c r="J468" s="83" t="b">
        <v>0</v>
      </c>
      <c r="K468" s="83" t="b">
        <v>0</v>
      </c>
      <c r="L468" s="83" t="b">
        <v>0</v>
      </c>
    </row>
    <row r="469" spans="1:12" ht="15">
      <c r="A469" s="84" t="s">
        <v>1868</v>
      </c>
      <c r="B469" s="83" t="s">
        <v>1869</v>
      </c>
      <c r="C469" s="83">
        <v>2</v>
      </c>
      <c r="D469" s="110">
        <v>0.009055588566593262</v>
      </c>
      <c r="E469" s="110">
        <v>2.0170333392987803</v>
      </c>
      <c r="F469" s="83" t="s">
        <v>1380</v>
      </c>
      <c r="G469" s="83" t="b">
        <v>0</v>
      </c>
      <c r="H469" s="83" t="b">
        <v>0</v>
      </c>
      <c r="I469" s="83" t="b">
        <v>0</v>
      </c>
      <c r="J469" s="83" t="b">
        <v>0</v>
      </c>
      <c r="K469" s="83" t="b">
        <v>0</v>
      </c>
      <c r="L469" s="83" t="b">
        <v>0</v>
      </c>
    </row>
    <row r="470" spans="1:12" ht="15">
      <c r="A470" s="84" t="s">
        <v>1869</v>
      </c>
      <c r="B470" s="83" t="s">
        <v>1444</v>
      </c>
      <c r="C470" s="83">
        <v>2</v>
      </c>
      <c r="D470" s="110">
        <v>0.009055588566593262</v>
      </c>
      <c r="E470" s="110">
        <v>1.3180633349627615</v>
      </c>
      <c r="F470" s="83" t="s">
        <v>1380</v>
      </c>
      <c r="G470" s="83" t="b">
        <v>0</v>
      </c>
      <c r="H470" s="83" t="b">
        <v>0</v>
      </c>
      <c r="I470" s="83" t="b">
        <v>0</v>
      </c>
      <c r="J470" s="83" t="b">
        <v>0</v>
      </c>
      <c r="K470" s="83" t="b">
        <v>0</v>
      </c>
      <c r="L470" s="83" t="b">
        <v>0</v>
      </c>
    </row>
    <row r="471" spans="1:12" ht="15">
      <c r="A471" s="84" t="s">
        <v>1574</v>
      </c>
      <c r="B471" s="83" t="s">
        <v>1870</v>
      </c>
      <c r="C471" s="83">
        <v>2</v>
      </c>
      <c r="D471" s="110">
        <v>0.009055588566593262</v>
      </c>
      <c r="E471" s="110">
        <v>1.6190933306267428</v>
      </c>
      <c r="F471" s="83" t="s">
        <v>1380</v>
      </c>
      <c r="G471" s="83" t="b">
        <v>0</v>
      </c>
      <c r="H471" s="83" t="b">
        <v>0</v>
      </c>
      <c r="I471" s="83" t="b">
        <v>0</v>
      </c>
      <c r="J471" s="83" t="b">
        <v>0</v>
      </c>
      <c r="K471" s="83" t="b">
        <v>0</v>
      </c>
      <c r="L471" s="83" t="b">
        <v>0</v>
      </c>
    </row>
    <row r="472" spans="1:12" ht="15">
      <c r="A472" s="84" t="s">
        <v>1870</v>
      </c>
      <c r="B472" s="83" t="s">
        <v>1675</v>
      </c>
      <c r="C472" s="83">
        <v>2</v>
      </c>
      <c r="D472" s="110">
        <v>0.009055588566593262</v>
      </c>
      <c r="E472" s="110">
        <v>2.0170333392987803</v>
      </c>
      <c r="F472" s="83" t="s">
        <v>1380</v>
      </c>
      <c r="G472" s="83" t="b">
        <v>0</v>
      </c>
      <c r="H472" s="83" t="b">
        <v>0</v>
      </c>
      <c r="I472" s="83" t="b">
        <v>0</v>
      </c>
      <c r="J472" s="83" t="b">
        <v>0</v>
      </c>
      <c r="K472" s="83" t="b">
        <v>0</v>
      </c>
      <c r="L472" s="83" t="b">
        <v>0</v>
      </c>
    </row>
    <row r="473" spans="1:12" ht="15">
      <c r="A473" s="84" t="s">
        <v>1675</v>
      </c>
      <c r="B473" s="83" t="s">
        <v>1693</v>
      </c>
      <c r="C473" s="83">
        <v>2</v>
      </c>
      <c r="D473" s="110">
        <v>0.009055588566593262</v>
      </c>
      <c r="E473" s="110">
        <v>2.0170333392987803</v>
      </c>
      <c r="F473" s="83" t="s">
        <v>1380</v>
      </c>
      <c r="G473" s="83" t="b">
        <v>0</v>
      </c>
      <c r="H473" s="83" t="b">
        <v>0</v>
      </c>
      <c r="I473" s="83" t="b">
        <v>0</v>
      </c>
      <c r="J473" s="83" t="b">
        <v>0</v>
      </c>
      <c r="K473" s="83" t="b">
        <v>0</v>
      </c>
      <c r="L473" s="83" t="b">
        <v>0</v>
      </c>
    </row>
    <row r="474" spans="1:12" ht="15">
      <c r="A474" s="84" t="s">
        <v>1693</v>
      </c>
      <c r="B474" s="83" t="s">
        <v>1436</v>
      </c>
      <c r="C474" s="83">
        <v>2</v>
      </c>
      <c r="D474" s="110">
        <v>0.009055588566593262</v>
      </c>
      <c r="E474" s="110">
        <v>1.7160033436347992</v>
      </c>
      <c r="F474" s="83" t="s">
        <v>1380</v>
      </c>
      <c r="G474" s="83" t="b">
        <v>0</v>
      </c>
      <c r="H474" s="83" t="b">
        <v>0</v>
      </c>
      <c r="I474" s="83" t="b">
        <v>0</v>
      </c>
      <c r="J474" s="83" t="b">
        <v>0</v>
      </c>
      <c r="K474" s="83" t="b">
        <v>0</v>
      </c>
      <c r="L474" s="83" t="b">
        <v>0</v>
      </c>
    </row>
    <row r="475" spans="1:12" ht="15">
      <c r="A475" s="84" t="s">
        <v>1700</v>
      </c>
      <c r="B475" s="83" t="s">
        <v>1447</v>
      </c>
      <c r="C475" s="83">
        <v>2</v>
      </c>
      <c r="D475" s="110">
        <v>0.009055588566593262</v>
      </c>
      <c r="E475" s="110">
        <v>1.5399120845791179</v>
      </c>
      <c r="F475" s="83" t="s">
        <v>1380</v>
      </c>
      <c r="G475" s="83" t="b">
        <v>0</v>
      </c>
      <c r="H475" s="83" t="b">
        <v>0</v>
      </c>
      <c r="I475" s="83" t="b">
        <v>0</v>
      </c>
      <c r="J475" s="83" t="b">
        <v>0</v>
      </c>
      <c r="K475" s="83" t="b">
        <v>0</v>
      </c>
      <c r="L475" s="83" t="b">
        <v>0</v>
      </c>
    </row>
    <row r="476" spans="1:12" ht="15">
      <c r="A476" s="84" t="s">
        <v>1447</v>
      </c>
      <c r="B476" s="83" t="s">
        <v>1444</v>
      </c>
      <c r="C476" s="83">
        <v>2</v>
      </c>
      <c r="D476" s="110">
        <v>0.009055588566593262</v>
      </c>
      <c r="E476" s="110">
        <v>1.0170333392987803</v>
      </c>
      <c r="F476" s="83" t="s">
        <v>1380</v>
      </c>
      <c r="G476" s="83" t="b">
        <v>0</v>
      </c>
      <c r="H476" s="83" t="b">
        <v>0</v>
      </c>
      <c r="I476" s="83" t="b">
        <v>0</v>
      </c>
      <c r="J476" s="83" t="b">
        <v>0</v>
      </c>
      <c r="K476" s="83" t="b">
        <v>0</v>
      </c>
      <c r="L476" s="83" t="b">
        <v>0</v>
      </c>
    </row>
    <row r="477" spans="1:12" ht="15">
      <c r="A477" s="84" t="s">
        <v>1453</v>
      </c>
      <c r="B477" s="83" t="s">
        <v>1871</v>
      </c>
      <c r="C477" s="83">
        <v>2</v>
      </c>
      <c r="D477" s="110">
        <v>0.009055588566593262</v>
      </c>
      <c r="E477" s="110">
        <v>1.3180633349627615</v>
      </c>
      <c r="F477" s="83" t="s">
        <v>1380</v>
      </c>
      <c r="G477" s="83" t="b">
        <v>0</v>
      </c>
      <c r="H477" s="83" t="b">
        <v>0</v>
      </c>
      <c r="I477" s="83" t="b">
        <v>0</v>
      </c>
      <c r="J477" s="83" t="b">
        <v>0</v>
      </c>
      <c r="K477" s="83" t="b">
        <v>0</v>
      </c>
      <c r="L477" s="83" t="b">
        <v>0</v>
      </c>
    </row>
    <row r="478" spans="1:12" ht="15">
      <c r="A478" s="84" t="s">
        <v>1871</v>
      </c>
      <c r="B478" s="83" t="s">
        <v>1872</v>
      </c>
      <c r="C478" s="83">
        <v>2</v>
      </c>
      <c r="D478" s="110">
        <v>0.009055588566593262</v>
      </c>
      <c r="E478" s="110">
        <v>2.0170333392987803</v>
      </c>
      <c r="F478" s="83" t="s">
        <v>1380</v>
      </c>
      <c r="G478" s="83" t="b">
        <v>0</v>
      </c>
      <c r="H478" s="83" t="b">
        <v>0</v>
      </c>
      <c r="I478" s="83" t="b">
        <v>0</v>
      </c>
      <c r="J478" s="83" t="b">
        <v>0</v>
      </c>
      <c r="K478" s="83" t="b">
        <v>0</v>
      </c>
      <c r="L478" s="83" t="b">
        <v>0</v>
      </c>
    </row>
    <row r="479" spans="1:12" ht="15">
      <c r="A479" s="84" t="s">
        <v>1872</v>
      </c>
      <c r="B479" s="83" t="s">
        <v>1873</v>
      </c>
      <c r="C479" s="83">
        <v>2</v>
      </c>
      <c r="D479" s="110">
        <v>0.009055588566593262</v>
      </c>
      <c r="E479" s="110">
        <v>2.0170333392987803</v>
      </c>
      <c r="F479" s="83" t="s">
        <v>1380</v>
      </c>
      <c r="G479" s="83" t="b">
        <v>0</v>
      </c>
      <c r="H479" s="83" t="b">
        <v>0</v>
      </c>
      <c r="I479" s="83" t="b">
        <v>0</v>
      </c>
      <c r="J479" s="83" t="b">
        <v>0</v>
      </c>
      <c r="K479" s="83" t="b">
        <v>0</v>
      </c>
      <c r="L479" s="83" t="b">
        <v>0</v>
      </c>
    </row>
    <row r="480" spans="1:12" ht="15">
      <c r="A480" s="84" t="s">
        <v>1873</v>
      </c>
      <c r="B480" s="83" t="s">
        <v>1874</v>
      </c>
      <c r="C480" s="83">
        <v>2</v>
      </c>
      <c r="D480" s="110">
        <v>0.009055588566593262</v>
      </c>
      <c r="E480" s="110">
        <v>2.0170333392987803</v>
      </c>
      <c r="F480" s="83" t="s">
        <v>1380</v>
      </c>
      <c r="G480" s="83" t="b">
        <v>0</v>
      </c>
      <c r="H480" s="83" t="b">
        <v>0</v>
      </c>
      <c r="I480" s="83" t="b">
        <v>0</v>
      </c>
      <c r="J480" s="83" t="b">
        <v>0</v>
      </c>
      <c r="K480" s="83" t="b">
        <v>0</v>
      </c>
      <c r="L480" s="83" t="b">
        <v>0</v>
      </c>
    </row>
    <row r="481" spans="1:12" ht="15">
      <c r="A481" s="84" t="s">
        <v>1874</v>
      </c>
      <c r="B481" s="83" t="s">
        <v>1514</v>
      </c>
      <c r="C481" s="83">
        <v>2</v>
      </c>
      <c r="D481" s="110">
        <v>0.009055588566593262</v>
      </c>
      <c r="E481" s="110">
        <v>2.0170333392987803</v>
      </c>
      <c r="F481" s="83" t="s">
        <v>1380</v>
      </c>
      <c r="G481" s="83" t="b">
        <v>0</v>
      </c>
      <c r="H481" s="83" t="b">
        <v>0</v>
      </c>
      <c r="I481" s="83" t="b">
        <v>0</v>
      </c>
      <c r="J481" s="83" t="b">
        <v>0</v>
      </c>
      <c r="K481" s="83" t="b">
        <v>0</v>
      </c>
      <c r="L481" s="83" t="b">
        <v>0</v>
      </c>
    </row>
    <row r="482" spans="1:12" ht="15">
      <c r="A482" s="84" t="s">
        <v>1514</v>
      </c>
      <c r="B482" s="83" t="s">
        <v>1613</v>
      </c>
      <c r="C482" s="83">
        <v>2</v>
      </c>
      <c r="D482" s="110">
        <v>0.009055588566593262</v>
      </c>
      <c r="E482" s="110">
        <v>1.8409420802430991</v>
      </c>
      <c r="F482" s="83" t="s">
        <v>1380</v>
      </c>
      <c r="G482" s="83" t="b">
        <v>0</v>
      </c>
      <c r="H482" s="83" t="b">
        <v>0</v>
      </c>
      <c r="I482" s="83" t="b">
        <v>0</v>
      </c>
      <c r="J482" s="83" t="b">
        <v>0</v>
      </c>
      <c r="K482" s="83" t="b">
        <v>0</v>
      </c>
      <c r="L482" s="83" t="b">
        <v>0</v>
      </c>
    </row>
    <row r="483" spans="1:12" ht="15">
      <c r="A483" s="84" t="s">
        <v>1613</v>
      </c>
      <c r="B483" s="83" t="s">
        <v>1520</v>
      </c>
      <c r="C483" s="83">
        <v>2</v>
      </c>
      <c r="D483" s="110">
        <v>0.009055588566593262</v>
      </c>
      <c r="E483" s="110">
        <v>1.6648508211874178</v>
      </c>
      <c r="F483" s="83" t="s">
        <v>1380</v>
      </c>
      <c r="G483" s="83" t="b">
        <v>0</v>
      </c>
      <c r="H483" s="83" t="b">
        <v>0</v>
      </c>
      <c r="I483" s="83" t="b">
        <v>0</v>
      </c>
      <c r="J483" s="83" t="b">
        <v>0</v>
      </c>
      <c r="K483" s="83" t="b">
        <v>1</v>
      </c>
      <c r="L483" s="83" t="b">
        <v>0</v>
      </c>
    </row>
    <row r="484" spans="1:12" ht="15">
      <c r="A484" s="84" t="s">
        <v>1439</v>
      </c>
      <c r="B484" s="83" t="s">
        <v>1482</v>
      </c>
      <c r="C484" s="83">
        <v>7</v>
      </c>
      <c r="D484" s="110">
        <v>0.015437435675075958</v>
      </c>
      <c r="E484" s="110">
        <v>1.2465689175814276</v>
      </c>
      <c r="F484" s="83" t="s">
        <v>1381</v>
      </c>
      <c r="G484" s="83" t="b">
        <v>1</v>
      </c>
      <c r="H484" s="83" t="b">
        <v>0</v>
      </c>
      <c r="I484" s="83" t="b">
        <v>0</v>
      </c>
      <c r="J484" s="83" t="b">
        <v>0</v>
      </c>
      <c r="K484" s="83" t="b">
        <v>0</v>
      </c>
      <c r="L484" s="83" t="b">
        <v>0</v>
      </c>
    </row>
    <row r="485" spans="1:12" ht="15">
      <c r="A485" s="84" t="s">
        <v>1482</v>
      </c>
      <c r="B485" s="83" t="s">
        <v>1509</v>
      </c>
      <c r="C485" s="83">
        <v>7</v>
      </c>
      <c r="D485" s="110">
        <v>0.015437435675075958</v>
      </c>
      <c r="E485" s="110">
        <v>1.5475989132454089</v>
      </c>
      <c r="F485" s="83" t="s">
        <v>1381</v>
      </c>
      <c r="G485" s="83" t="b">
        <v>0</v>
      </c>
      <c r="H485" s="83" t="b">
        <v>0</v>
      </c>
      <c r="I485" s="83" t="b">
        <v>0</v>
      </c>
      <c r="J485" s="83" t="b">
        <v>1</v>
      </c>
      <c r="K485" s="83" t="b">
        <v>0</v>
      </c>
      <c r="L485" s="83" t="b">
        <v>0</v>
      </c>
    </row>
    <row r="486" spans="1:12" ht="15">
      <c r="A486" s="84" t="s">
        <v>1461</v>
      </c>
      <c r="B486" s="83" t="s">
        <v>1483</v>
      </c>
      <c r="C486" s="83">
        <v>7</v>
      </c>
      <c r="D486" s="110">
        <v>0.015437435675075958</v>
      </c>
      <c r="E486" s="110">
        <v>1.5475989132454089</v>
      </c>
      <c r="F486" s="83" t="s">
        <v>1381</v>
      </c>
      <c r="G486" s="83" t="b">
        <v>1</v>
      </c>
      <c r="H486" s="83" t="b">
        <v>0</v>
      </c>
      <c r="I486" s="83" t="b">
        <v>0</v>
      </c>
      <c r="J486" s="83" t="b">
        <v>0</v>
      </c>
      <c r="K486" s="83" t="b">
        <v>0</v>
      </c>
      <c r="L486" s="83" t="b">
        <v>0</v>
      </c>
    </row>
    <row r="487" spans="1:12" ht="15">
      <c r="A487" s="84" t="s">
        <v>1468</v>
      </c>
      <c r="B487" s="83" t="s">
        <v>1439</v>
      </c>
      <c r="C487" s="83">
        <v>6</v>
      </c>
      <c r="D487" s="110">
        <v>0.01470344573535331</v>
      </c>
      <c r="E487" s="110">
        <v>1.0247201679650713</v>
      </c>
      <c r="F487" s="83" t="s">
        <v>1381</v>
      </c>
      <c r="G487" s="83" t="b">
        <v>0</v>
      </c>
      <c r="H487" s="83" t="b">
        <v>0</v>
      </c>
      <c r="I487" s="83" t="b">
        <v>0</v>
      </c>
      <c r="J487" s="83" t="b">
        <v>1</v>
      </c>
      <c r="K487" s="83" t="b">
        <v>0</v>
      </c>
      <c r="L487" s="83" t="b">
        <v>0</v>
      </c>
    </row>
    <row r="488" spans="1:12" ht="15">
      <c r="A488" s="84" t="s">
        <v>1509</v>
      </c>
      <c r="B488" s="83" t="s">
        <v>1461</v>
      </c>
      <c r="C488" s="83">
        <v>6</v>
      </c>
      <c r="D488" s="110">
        <v>0.01470344573535331</v>
      </c>
      <c r="E488" s="110">
        <v>1.4806521236147956</v>
      </c>
      <c r="F488" s="83" t="s">
        <v>1381</v>
      </c>
      <c r="G488" s="83" t="b">
        <v>1</v>
      </c>
      <c r="H488" s="83" t="b">
        <v>0</v>
      </c>
      <c r="I488" s="83" t="b">
        <v>0</v>
      </c>
      <c r="J488" s="83" t="b">
        <v>1</v>
      </c>
      <c r="K488" s="83" t="b">
        <v>0</v>
      </c>
      <c r="L488" s="83" t="b">
        <v>0</v>
      </c>
    </row>
    <row r="489" spans="1:12" ht="15">
      <c r="A489" s="84" t="s">
        <v>1483</v>
      </c>
      <c r="B489" s="83" t="s">
        <v>1475</v>
      </c>
      <c r="C489" s="83">
        <v>6</v>
      </c>
      <c r="D489" s="110">
        <v>0.01470344573535331</v>
      </c>
      <c r="E489" s="110">
        <v>1.5475989132454089</v>
      </c>
      <c r="F489" s="83" t="s">
        <v>1381</v>
      </c>
      <c r="G489" s="83" t="b">
        <v>0</v>
      </c>
      <c r="H489" s="83" t="b">
        <v>0</v>
      </c>
      <c r="I489" s="83" t="b">
        <v>0</v>
      </c>
      <c r="J489" s="83" t="b">
        <v>0</v>
      </c>
      <c r="K489" s="83" t="b">
        <v>0</v>
      </c>
      <c r="L489" s="83" t="b">
        <v>0</v>
      </c>
    </row>
    <row r="490" spans="1:12" ht="15">
      <c r="A490" s="84" t="s">
        <v>1475</v>
      </c>
      <c r="B490" s="83" t="s">
        <v>1491</v>
      </c>
      <c r="C490" s="83">
        <v>6</v>
      </c>
      <c r="D490" s="110">
        <v>0.01470344573535331</v>
      </c>
      <c r="E490" s="110">
        <v>1.6145457028760222</v>
      </c>
      <c r="F490" s="83" t="s">
        <v>1381</v>
      </c>
      <c r="G490" s="83" t="b">
        <v>0</v>
      </c>
      <c r="H490" s="83" t="b">
        <v>0</v>
      </c>
      <c r="I490" s="83" t="b">
        <v>0</v>
      </c>
      <c r="J490" s="83" t="b">
        <v>0</v>
      </c>
      <c r="K490" s="83" t="b">
        <v>0</v>
      </c>
      <c r="L490" s="83" t="b">
        <v>0</v>
      </c>
    </row>
    <row r="491" spans="1:12" ht="15">
      <c r="A491" s="84" t="s">
        <v>1491</v>
      </c>
      <c r="B491" s="83" t="s">
        <v>1439</v>
      </c>
      <c r="C491" s="83">
        <v>6</v>
      </c>
      <c r="D491" s="110">
        <v>0.01470344573535331</v>
      </c>
      <c r="E491" s="110">
        <v>1.2465689175814276</v>
      </c>
      <c r="F491" s="83" t="s">
        <v>1381</v>
      </c>
      <c r="G491" s="83" t="b">
        <v>0</v>
      </c>
      <c r="H491" s="83" t="b">
        <v>0</v>
      </c>
      <c r="I491" s="83" t="b">
        <v>0</v>
      </c>
      <c r="J491" s="83" t="b">
        <v>1</v>
      </c>
      <c r="K491" s="83" t="b">
        <v>0</v>
      </c>
      <c r="L491" s="83" t="b">
        <v>0</v>
      </c>
    </row>
    <row r="492" spans="1:12" ht="15">
      <c r="A492" s="84" t="s">
        <v>1439</v>
      </c>
      <c r="B492" s="83" t="s">
        <v>1528</v>
      </c>
      <c r="C492" s="83">
        <v>6</v>
      </c>
      <c r="D492" s="110">
        <v>0.01470344573535331</v>
      </c>
      <c r="E492" s="110">
        <v>1.2465689175814276</v>
      </c>
      <c r="F492" s="83" t="s">
        <v>1381</v>
      </c>
      <c r="G492" s="83" t="b">
        <v>1</v>
      </c>
      <c r="H492" s="83" t="b">
        <v>0</v>
      </c>
      <c r="I492" s="83" t="b">
        <v>0</v>
      </c>
      <c r="J492" s="83" t="b">
        <v>0</v>
      </c>
      <c r="K492" s="83" t="b">
        <v>0</v>
      </c>
      <c r="L492" s="83" t="b">
        <v>0</v>
      </c>
    </row>
    <row r="493" spans="1:12" ht="15">
      <c r="A493" s="84" t="s">
        <v>1528</v>
      </c>
      <c r="B493" s="83" t="s">
        <v>1492</v>
      </c>
      <c r="C493" s="83">
        <v>6</v>
      </c>
      <c r="D493" s="110">
        <v>0.01470344573535331</v>
      </c>
      <c r="E493" s="110">
        <v>1.6145457028760222</v>
      </c>
      <c r="F493" s="83" t="s">
        <v>1381</v>
      </c>
      <c r="G493" s="83" t="b">
        <v>0</v>
      </c>
      <c r="H493" s="83" t="b">
        <v>0</v>
      </c>
      <c r="I493" s="83" t="b">
        <v>0</v>
      </c>
      <c r="J493" s="83" t="b">
        <v>0</v>
      </c>
      <c r="K493" s="83" t="b">
        <v>1</v>
      </c>
      <c r="L493" s="83" t="b">
        <v>0</v>
      </c>
    </row>
    <row r="494" spans="1:12" ht="15">
      <c r="A494" s="84" t="s">
        <v>1492</v>
      </c>
      <c r="B494" s="83" t="s">
        <v>1510</v>
      </c>
      <c r="C494" s="83">
        <v>6</v>
      </c>
      <c r="D494" s="110">
        <v>0.01470344573535331</v>
      </c>
      <c r="E494" s="110">
        <v>1.5475989132454089</v>
      </c>
      <c r="F494" s="83" t="s">
        <v>1381</v>
      </c>
      <c r="G494" s="83" t="b">
        <v>0</v>
      </c>
      <c r="H494" s="83" t="b">
        <v>1</v>
      </c>
      <c r="I494" s="83" t="b">
        <v>0</v>
      </c>
      <c r="J494" s="83" t="b">
        <v>0</v>
      </c>
      <c r="K494" s="83" t="b">
        <v>0</v>
      </c>
      <c r="L494" s="83" t="b">
        <v>0</v>
      </c>
    </row>
    <row r="495" spans="1:12" ht="15">
      <c r="A495" s="84" t="s">
        <v>1468</v>
      </c>
      <c r="B495" s="83" t="s">
        <v>1484</v>
      </c>
      <c r="C495" s="83">
        <v>3</v>
      </c>
      <c r="D495" s="110">
        <v>0.010659744798050076</v>
      </c>
      <c r="E495" s="110">
        <v>1.3926969532596658</v>
      </c>
      <c r="F495" s="83" t="s">
        <v>1381</v>
      </c>
      <c r="G495" s="83" t="b">
        <v>0</v>
      </c>
      <c r="H495" s="83" t="b">
        <v>0</v>
      </c>
      <c r="I495" s="83" t="b">
        <v>0</v>
      </c>
      <c r="J495" s="83" t="b">
        <v>1</v>
      </c>
      <c r="K495" s="83" t="b">
        <v>0</v>
      </c>
      <c r="L495" s="83" t="b">
        <v>0</v>
      </c>
    </row>
    <row r="496" spans="1:12" ht="15">
      <c r="A496" s="84" t="s">
        <v>1484</v>
      </c>
      <c r="B496" s="83" t="s">
        <v>1590</v>
      </c>
      <c r="C496" s="83">
        <v>3</v>
      </c>
      <c r="D496" s="110">
        <v>0.010659744798050076</v>
      </c>
      <c r="E496" s="110">
        <v>1.9155756985400032</v>
      </c>
      <c r="F496" s="83" t="s">
        <v>1381</v>
      </c>
      <c r="G496" s="83" t="b">
        <v>1</v>
      </c>
      <c r="H496" s="83" t="b">
        <v>0</v>
      </c>
      <c r="I496" s="83" t="b">
        <v>0</v>
      </c>
      <c r="J496" s="83" t="b">
        <v>0</v>
      </c>
      <c r="K496" s="83" t="b">
        <v>0</v>
      </c>
      <c r="L496" s="83" t="b">
        <v>0</v>
      </c>
    </row>
    <row r="497" spans="1:12" ht="15">
      <c r="A497" s="84" t="s">
        <v>1590</v>
      </c>
      <c r="B497" s="83" t="s">
        <v>1647</v>
      </c>
      <c r="C497" s="83">
        <v>3</v>
      </c>
      <c r="D497" s="110">
        <v>0.010659744798050076</v>
      </c>
      <c r="E497" s="110">
        <v>1.9155756985400032</v>
      </c>
      <c r="F497" s="83" t="s">
        <v>1381</v>
      </c>
      <c r="G497" s="83" t="b">
        <v>0</v>
      </c>
      <c r="H497" s="83" t="b">
        <v>0</v>
      </c>
      <c r="I497" s="83" t="b">
        <v>0</v>
      </c>
      <c r="J497" s="83" t="b">
        <v>0</v>
      </c>
      <c r="K497" s="83" t="b">
        <v>0</v>
      </c>
      <c r="L497" s="83" t="b">
        <v>0</v>
      </c>
    </row>
    <row r="498" spans="1:12" ht="15">
      <c r="A498" s="84" t="s">
        <v>1504</v>
      </c>
      <c r="B498" s="83" t="s">
        <v>1446</v>
      </c>
      <c r="C498" s="83">
        <v>2</v>
      </c>
      <c r="D498" s="110">
        <v>0.010601890339503437</v>
      </c>
      <c r="E498" s="110">
        <v>2.0916669575956846</v>
      </c>
      <c r="F498" s="83" t="s">
        <v>1381</v>
      </c>
      <c r="G498" s="83" t="b">
        <v>0</v>
      </c>
      <c r="H498" s="83" t="b">
        <v>0</v>
      </c>
      <c r="I498" s="83" t="b">
        <v>0</v>
      </c>
      <c r="J498" s="83" t="b">
        <v>0</v>
      </c>
      <c r="K498" s="83" t="b">
        <v>0</v>
      </c>
      <c r="L498" s="83" t="b">
        <v>0</v>
      </c>
    </row>
    <row r="499" spans="1:12" ht="15">
      <c r="A499" s="84" t="s">
        <v>1446</v>
      </c>
      <c r="B499" s="83" t="s">
        <v>1894</v>
      </c>
      <c r="C499" s="83">
        <v>2</v>
      </c>
      <c r="D499" s="110">
        <v>0.010601890339503437</v>
      </c>
      <c r="E499" s="110">
        <v>2.0916669575956846</v>
      </c>
      <c r="F499" s="83" t="s">
        <v>1381</v>
      </c>
      <c r="G499" s="83" t="b">
        <v>0</v>
      </c>
      <c r="H499" s="83" t="b">
        <v>0</v>
      </c>
      <c r="I499" s="83" t="b">
        <v>0</v>
      </c>
      <c r="J499" s="83" t="b">
        <v>0</v>
      </c>
      <c r="K499" s="83" t="b">
        <v>0</v>
      </c>
      <c r="L499" s="83" t="b">
        <v>0</v>
      </c>
    </row>
    <row r="500" spans="1:12" ht="15">
      <c r="A500" s="84" t="s">
        <v>1894</v>
      </c>
      <c r="B500" s="83" t="s">
        <v>1712</v>
      </c>
      <c r="C500" s="83">
        <v>2</v>
      </c>
      <c r="D500" s="110">
        <v>0.010601890339503437</v>
      </c>
      <c r="E500" s="110">
        <v>2.0916669575956846</v>
      </c>
      <c r="F500" s="83" t="s">
        <v>1381</v>
      </c>
      <c r="G500" s="83" t="b">
        <v>0</v>
      </c>
      <c r="H500" s="83" t="b">
        <v>0</v>
      </c>
      <c r="I500" s="83" t="b">
        <v>0</v>
      </c>
      <c r="J500" s="83" t="b">
        <v>0</v>
      </c>
      <c r="K500" s="83" t="b">
        <v>0</v>
      </c>
      <c r="L500" s="83" t="b">
        <v>0</v>
      </c>
    </row>
    <row r="501" spans="1:12" ht="15">
      <c r="A501" s="84" t="s">
        <v>1712</v>
      </c>
      <c r="B501" s="83" t="s">
        <v>1895</v>
      </c>
      <c r="C501" s="83">
        <v>2</v>
      </c>
      <c r="D501" s="110">
        <v>0.010601890339503437</v>
      </c>
      <c r="E501" s="110">
        <v>2.0916669575956846</v>
      </c>
      <c r="F501" s="83" t="s">
        <v>1381</v>
      </c>
      <c r="G501" s="83" t="b">
        <v>0</v>
      </c>
      <c r="H501" s="83" t="b">
        <v>0</v>
      </c>
      <c r="I501" s="83" t="b">
        <v>0</v>
      </c>
      <c r="J501" s="83" t="b">
        <v>0</v>
      </c>
      <c r="K501" s="83" t="b">
        <v>0</v>
      </c>
      <c r="L501" s="83" t="b">
        <v>0</v>
      </c>
    </row>
    <row r="502" spans="1:12" ht="15">
      <c r="A502" s="84" t="s">
        <v>1895</v>
      </c>
      <c r="B502" s="83" t="s">
        <v>1428</v>
      </c>
      <c r="C502" s="83">
        <v>2</v>
      </c>
      <c r="D502" s="110">
        <v>0.010601890339503437</v>
      </c>
      <c r="E502" s="110">
        <v>1.6145457028760222</v>
      </c>
      <c r="F502" s="83" t="s">
        <v>1381</v>
      </c>
      <c r="G502" s="83" t="b">
        <v>0</v>
      </c>
      <c r="H502" s="83" t="b">
        <v>0</v>
      </c>
      <c r="I502" s="83" t="b">
        <v>0</v>
      </c>
      <c r="J502" s="83" t="b">
        <v>0</v>
      </c>
      <c r="K502" s="83" t="b">
        <v>0</v>
      </c>
      <c r="L502" s="83" t="b">
        <v>0</v>
      </c>
    </row>
    <row r="503" spans="1:12" ht="15">
      <c r="A503" s="84" t="s">
        <v>1428</v>
      </c>
      <c r="B503" s="83" t="s">
        <v>1498</v>
      </c>
      <c r="C503" s="83">
        <v>2</v>
      </c>
      <c r="D503" s="110">
        <v>0.010601890339503437</v>
      </c>
      <c r="E503" s="110">
        <v>1.6937269489236468</v>
      </c>
      <c r="F503" s="83" t="s">
        <v>1381</v>
      </c>
      <c r="G503" s="83" t="b">
        <v>0</v>
      </c>
      <c r="H503" s="83" t="b">
        <v>0</v>
      </c>
      <c r="I503" s="83" t="b">
        <v>0</v>
      </c>
      <c r="J503" s="83" t="b">
        <v>0</v>
      </c>
      <c r="K503" s="83" t="b">
        <v>0</v>
      </c>
      <c r="L503" s="83" t="b">
        <v>0</v>
      </c>
    </row>
    <row r="504" spans="1:12" ht="15">
      <c r="A504" s="84" t="s">
        <v>1498</v>
      </c>
      <c r="B504" s="83" t="s">
        <v>1473</v>
      </c>
      <c r="C504" s="83">
        <v>2</v>
      </c>
      <c r="D504" s="110">
        <v>0.010601890339503437</v>
      </c>
      <c r="E504" s="110">
        <v>1.489606966267722</v>
      </c>
      <c r="F504" s="83" t="s">
        <v>1381</v>
      </c>
      <c r="G504" s="83" t="b">
        <v>0</v>
      </c>
      <c r="H504" s="83" t="b">
        <v>0</v>
      </c>
      <c r="I504" s="83" t="b">
        <v>0</v>
      </c>
      <c r="J504" s="83" t="b">
        <v>0</v>
      </c>
      <c r="K504" s="83" t="b">
        <v>0</v>
      </c>
      <c r="L504" s="83" t="b">
        <v>0</v>
      </c>
    </row>
    <row r="505" spans="1:12" ht="15">
      <c r="A505" s="84" t="s">
        <v>1473</v>
      </c>
      <c r="B505" s="83" t="s">
        <v>1429</v>
      </c>
      <c r="C505" s="83">
        <v>2</v>
      </c>
      <c r="D505" s="110">
        <v>0.010601890339503437</v>
      </c>
      <c r="E505" s="110">
        <v>1.4384544438203408</v>
      </c>
      <c r="F505" s="83" t="s">
        <v>1381</v>
      </c>
      <c r="G505" s="83" t="b">
        <v>0</v>
      </c>
      <c r="H505" s="83" t="b">
        <v>0</v>
      </c>
      <c r="I505" s="83" t="b">
        <v>0</v>
      </c>
      <c r="J505" s="83" t="b">
        <v>0</v>
      </c>
      <c r="K505" s="83" t="b">
        <v>0</v>
      </c>
      <c r="L505" s="83" t="b">
        <v>0</v>
      </c>
    </row>
    <row r="506" spans="1:12" ht="15">
      <c r="A506" s="84" t="s">
        <v>1429</v>
      </c>
      <c r="B506" s="83" t="s">
        <v>1896</v>
      </c>
      <c r="C506" s="83">
        <v>2</v>
      </c>
      <c r="D506" s="110">
        <v>0.010601890339503437</v>
      </c>
      <c r="E506" s="110">
        <v>1.9155756985400034</v>
      </c>
      <c r="F506" s="83" t="s">
        <v>1381</v>
      </c>
      <c r="G506" s="83" t="b">
        <v>0</v>
      </c>
      <c r="H506" s="83" t="b">
        <v>0</v>
      </c>
      <c r="I506" s="83" t="b">
        <v>0</v>
      </c>
      <c r="J506" s="83" t="b">
        <v>0</v>
      </c>
      <c r="K506" s="83" t="b">
        <v>0</v>
      </c>
      <c r="L506" s="83" t="b">
        <v>0</v>
      </c>
    </row>
    <row r="507" spans="1:12" ht="15">
      <c r="A507" s="84" t="s">
        <v>1896</v>
      </c>
      <c r="B507" s="83" t="s">
        <v>1525</v>
      </c>
      <c r="C507" s="83">
        <v>2</v>
      </c>
      <c r="D507" s="110">
        <v>0.010601890339503437</v>
      </c>
      <c r="E507" s="110">
        <v>1.9155756985400034</v>
      </c>
      <c r="F507" s="83" t="s">
        <v>1381</v>
      </c>
      <c r="G507" s="83" t="b">
        <v>0</v>
      </c>
      <c r="H507" s="83" t="b">
        <v>0</v>
      </c>
      <c r="I507" s="83" t="b">
        <v>0</v>
      </c>
      <c r="J507" s="83" t="b">
        <v>0</v>
      </c>
      <c r="K507" s="83" t="b">
        <v>0</v>
      </c>
      <c r="L507" s="83" t="b">
        <v>0</v>
      </c>
    </row>
    <row r="508" spans="1:12" ht="15">
      <c r="A508" s="84" t="s">
        <v>1525</v>
      </c>
      <c r="B508" s="83" t="s">
        <v>1707</v>
      </c>
      <c r="C508" s="83">
        <v>2</v>
      </c>
      <c r="D508" s="110">
        <v>0.010601890339503437</v>
      </c>
      <c r="E508" s="110">
        <v>1.9155756985400034</v>
      </c>
      <c r="F508" s="83" t="s">
        <v>1381</v>
      </c>
      <c r="G508" s="83" t="b">
        <v>0</v>
      </c>
      <c r="H508" s="83" t="b">
        <v>0</v>
      </c>
      <c r="I508" s="83" t="b">
        <v>0</v>
      </c>
      <c r="J508" s="83" t="b">
        <v>0</v>
      </c>
      <c r="K508" s="83" t="b">
        <v>0</v>
      </c>
      <c r="L508" s="83" t="b">
        <v>0</v>
      </c>
    </row>
    <row r="509" spans="1:12" ht="15">
      <c r="A509" s="84" t="s">
        <v>2049</v>
      </c>
      <c r="B509" s="83" t="s">
        <v>1481</v>
      </c>
      <c r="C509" s="83">
        <v>2</v>
      </c>
      <c r="D509" s="110">
        <v>0.010601890339503437</v>
      </c>
      <c r="E509" s="110">
        <v>2.0916669575956846</v>
      </c>
      <c r="F509" s="83" t="s">
        <v>1381</v>
      </c>
      <c r="G509" s="83" t="b">
        <v>0</v>
      </c>
      <c r="H509" s="83" t="b">
        <v>0</v>
      </c>
      <c r="I509" s="83" t="b">
        <v>0</v>
      </c>
      <c r="J509" s="83" t="b">
        <v>0</v>
      </c>
      <c r="K509" s="83" t="b">
        <v>0</v>
      </c>
      <c r="L509" s="83" t="b">
        <v>0</v>
      </c>
    </row>
    <row r="510" spans="1:12" ht="15">
      <c r="A510" s="84" t="s">
        <v>1481</v>
      </c>
      <c r="B510" s="83" t="s">
        <v>1670</v>
      </c>
      <c r="C510" s="83">
        <v>2</v>
      </c>
      <c r="D510" s="110">
        <v>0.010601890339503437</v>
      </c>
      <c r="E510" s="110">
        <v>2.0916669575956846</v>
      </c>
      <c r="F510" s="83" t="s">
        <v>1381</v>
      </c>
      <c r="G510" s="83" t="b">
        <v>0</v>
      </c>
      <c r="H510" s="83" t="b">
        <v>0</v>
      </c>
      <c r="I510" s="83" t="b">
        <v>0</v>
      </c>
      <c r="J510" s="83" t="b">
        <v>0</v>
      </c>
      <c r="K510" s="83" t="b">
        <v>0</v>
      </c>
      <c r="L510" s="83" t="b">
        <v>0</v>
      </c>
    </row>
    <row r="511" spans="1:12" ht="15">
      <c r="A511" s="84" t="s">
        <v>1670</v>
      </c>
      <c r="B511" s="83" t="s">
        <v>2050</v>
      </c>
      <c r="C511" s="83">
        <v>2</v>
      </c>
      <c r="D511" s="110">
        <v>0.010601890339503437</v>
      </c>
      <c r="E511" s="110">
        <v>2.0916669575956846</v>
      </c>
      <c r="F511" s="83" t="s">
        <v>1381</v>
      </c>
      <c r="G511" s="83" t="b">
        <v>0</v>
      </c>
      <c r="H511" s="83" t="b">
        <v>0</v>
      </c>
      <c r="I511" s="83" t="b">
        <v>0</v>
      </c>
      <c r="J511" s="83" t="b">
        <v>0</v>
      </c>
      <c r="K511" s="83" t="b">
        <v>0</v>
      </c>
      <c r="L511" s="83" t="b">
        <v>0</v>
      </c>
    </row>
    <row r="512" spans="1:12" ht="15">
      <c r="A512" s="84" t="s">
        <v>2050</v>
      </c>
      <c r="B512" s="83" t="s">
        <v>2051</v>
      </c>
      <c r="C512" s="83">
        <v>2</v>
      </c>
      <c r="D512" s="110">
        <v>0.010601890339503437</v>
      </c>
      <c r="E512" s="110">
        <v>2.0916669575956846</v>
      </c>
      <c r="F512" s="83" t="s">
        <v>1381</v>
      </c>
      <c r="G512" s="83" t="b">
        <v>0</v>
      </c>
      <c r="H512" s="83" t="b">
        <v>0</v>
      </c>
      <c r="I512" s="83" t="b">
        <v>0</v>
      </c>
      <c r="J512" s="83" t="b">
        <v>0</v>
      </c>
      <c r="K512" s="83" t="b">
        <v>0</v>
      </c>
      <c r="L512" s="83" t="b">
        <v>0</v>
      </c>
    </row>
    <row r="513" spans="1:12" ht="15">
      <c r="A513" s="84" t="s">
        <v>2051</v>
      </c>
      <c r="B513" s="83" t="s">
        <v>1544</v>
      </c>
      <c r="C513" s="83">
        <v>2</v>
      </c>
      <c r="D513" s="110">
        <v>0.010601890339503437</v>
      </c>
      <c r="E513" s="110">
        <v>2.0916669575956846</v>
      </c>
      <c r="F513" s="83" t="s">
        <v>1381</v>
      </c>
      <c r="G513" s="83" t="b">
        <v>0</v>
      </c>
      <c r="H513" s="83" t="b">
        <v>0</v>
      </c>
      <c r="I513" s="83" t="b">
        <v>0</v>
      </c>
      <c r="J513" s="83" t="b">
        <v>0</v>
      </c>
      <c r="K513" s="83" t="b">
        <v>0</v>
      </c>
      <c r="L513" s="83" t="b">
        <v>0</v>
      </c>
    </row>
    <row r="514" spans="1:12" ht="15">
      <c r="A514" s="84" t="s">
        <v>1544</v>
      </c>
      <c r="B514" s="83" t="s">
        <v>1465</v>
      </c>
      <c r="C514" s="83">
        <v>2</v>
      </c>
      <c r="D514" s="110">
        <v>0.010601890339503437</v>
      </c>
      <c r="E514" s="110">
        <v>2.0916669575956846</v>
      </c>
      <c r="F514" s="83" t="s">
        <v>1381</v>
      </c>
      <c r="G514" s="83" t="b">
        <v>0</v>
      </c>
      <c r="H514" s="83" t="b">
        <v>0</v>
      </c>
      <c r="I514" s="83" t="b">
        <v>0</v>
      </c>
      <c r="J514" s="83" t="b">
        <v>0</v>
      </c>
      <c r="K514" s="83" t="b">
        <v>0</v>
      </c>
      <c r="L514" s="83" t="b">
        <v>0</v>
      </c>
    </row>
    <row r="515" spans="1:12" ht="15">
      <c r="A515" s="84" t="s">
        <v>1345</v>
      </c>
      <c r="B515" s="83" t="s">
        <v>2046</v>
      </c>
      <c r="C515" s="83">
        <v>2</v>
      </c>
      <c r="D515" s="110">
        <v>0.010601890339503437</v>
      </c>
      <c r="E515" s="110">
        <v>1.9155756985400034</v>
      </c>
      <c r="F515" s="83" t="s">
        <v>1381</v>
      </c>
      <c r="G515" s="83" t="b">
        <v>0</v>
      </c>
      <c r="H515" s="83" t="b">
        <v>0</v>
      </c>
      <c r="I515" s="83" t="b">
        <v>0</v>
      </c>
      <c r="J515" s="83" t="b">
        <v>0</v>
      </c>
      <c r="K515" s="83" t="b">
        <v>0</v>
      </c>
      <c r="L515" s="83" t="b">
        <v>0</v>
      </c>
    </row>
    <row r="516" spans="1:12" ht="15">
      <c r="A516" s="84" t="s">
        <v>2046</v>
      </c>
      <c r="B516" s="83" t="s">
        <v>2047</v>
      </c>
      <c r="C516" s="83">
        <v>2</v>
      </c>
      <c r="D516" s="110">
        <v>0.010601890339503437</v>
      </c>
      <c r="E516" s="110">
        <v>2.0916669575956846</v>
      </c>
      <c r="F516" s="83" t="s">
        <v>1381</v>
      </c>
      <c r="G516" s="83" t="b">
        <v>0</v>
      </c>
      <c r="H516" s="83" t="b">
        <v>0</v>
      </c>
      <c r="I516" s="83" t="b">
        <v>0</v>
      </c>
      <c r="J516" s="83" t="b">
        <v>0</v>
      </c>
      <c r="K516" s="83" t="b">
        <v>0</v>
      </c>
      <c r="L516" s="83" t="b">
        <v>0</v>
      </c>
    </row>
    <row r="517" spans="1:12" ht="15">
      <c r="A517" s="84" t="s">
        <v>2047</v>
      </c>
      <c r="B517" s="83" t="s">
        <v>2048</v>
      </c>
      <c r="C517" s="83">
        <v>2</v>
      </c>
      <c r="D517" s="110">
        <v>0.010601890339503437</v>
      </c>
      <c r="E517" s="110">
        <v>2.0916669575956846</v>
      </c>
      <c r="F517" s="83" t="s">
        <v>1381</v>
      </c>
      <c r="G517" s="83" t="b">
        <v>0</v>
      </c>
      <c r="H517" s="83" t="b">
        <v>0</v>
      </c>
      <c r="I517" s="83" t="b">
        <v>0</v>
      </c>
      <c r="J517" s="83" t="b">
        <v>0</v>
      </c>
      <c r="K517" s="83" t="b">
        <v>0</v>
      </c>
      <c r="L517" s="83" t="b">
        <v>0</v>
      </c>
    </row>
    <row r="518" spans="1:12" ht="15">
      <c r="A518" s="84" t="s">
        <v>2048</v>
      </c>
      <c r="B518" s="83" t="s">
        <v>1761</v>
      </c>
      <c r="C518" s="83">
        <v>2</v>
      </c>
      <c r="D518" s="110">
        <v>0.010601890339503437</v>
      </c>
      <c r="E518" s="110">
        <v>1.9155756985400034</v>
      </c>
      <c r="F518" s="83" t="s">
        <v>1381</v>
      </c>
      <c r="G518" s="83" t="b">
        <v>0</v>
      </c>
      <c r="H518" s="83" t="b">
        <v>0</v>
      </c>
      <c r="I518" s="83" t="b">
        <v>0</v>
      </c>
      <c r="J518" s="83" t="b">
        <v>0</v>
      </c>
      <c r="K518" s="83" t="b">
        <v>0</v>
      </c>
      <c r="L518" s="83" t="b">
        <v>0</v>
      </c>
    </row>
    <row r="519" spans="1:12" ht="15">
      <c r="A519" s="84" t="s">
        <v>1761</v>
      </c>
      <c r="B519" s="83" t="s">
        <v>1428</v>
      </c>
      <c r="C519" s="83">
        <v>2</v>
      </c>
      <c r="D519" s="110">
        <v>0.010601890339503437</v>
      </c>
      <c r="E519" s="110">
        <v>1.4384544438203408</v>
      </c>
      <c r="F519" s="83" t="s">
        <v>1381</v>
      </c>
      <c r="G519" s="83" t="b">
        <v>0</v>
      </c>
      <c r="H519" s="83" t="b">
        <v>0</v>
      </c>
      <c r="I519" s="83" t="b">
        <v>0</v>
      </c>
      <c r="J519" s="83" t="b">
        <v>0</v>
      </c>
      <c r="K519" s="83" t="b">
        <v>0</v>
      </c>
      <c r="L519" s="83" t="b">
        <v>0</v>
      </c>
    </row>
    <row r="520" spans="1:12" ht="15">
      <c r="A520" s="84" t="s">
        <v>1713</v>
      </c>
      <c r="B520" s="83" t="s">
        <v>1901</v>
      </c>
      <c r="C520" s="83">
        <v>2</v>
      </c>
      <c r="D520" s="110">
        <v>0.010601890339503437</v>
      </c>
      <c r="E520" s="110">
        <v>1.9155756985400034</v>
      </c>
      <c r="F520" s="83" t="s">
        <v>1381</v>
      </c>
      <c r="G520" s="83" t="b">
        <v>0</v>
      </c>
      <c r="H520" s="83" t="b">
        <v>0</v>
      </c>
      <c r="I520" s="83" t="b">
        <v>0</v>
      </c>
      <c r="J520" s="83" t="b">
        <v>0</v>
      </c>
      <c r="K520" s="83" t="b">
        <v>0</v>
      </c>
      <c r="L520" s="83" t="b">
        <v>0</v>
      </c>
    </row>
    <row r="521" spans="1:12" ht="15">
      <c r="A521" s="84" t="s">
        <v>1441</v>
      </c>
      <c r="B521" s="83" t="s">
        <v>1488</v>
      </c>
      <c r="C521" s="83">
        <v>4</v>
      </c>
      <c r="D521" s="110">
        <v>0.012587712750672879</v>
      </c>
      <c r="E521" s="110">
        <v>1.9708116108725178</v>
      </c>
      <c r="F521" s="83" t="s">
        <v>1382</v>
      </c>
      <c r="G521" s="83" t="b">
        <v>0</v>
      </c>
      <c r="H521" s="83" t="b">
        <v>0</v>
      </c>
      <c r="I521" s="83" t="b">
        <v>0</v>
      </c>
      <c r="J521" s="83" t="b">
        <v>0</v>
      </c>
      <c r="K521" s="83" t="b">
        <v>0</v>
      </c>
      <c r="L521" s="83" t="b">
        <v>0</v>
      </c>
    </row>
    <row r="522" spans="1:12" ht="15">
      <c r="A522" s="84" t="s">
        <v>1543</v>
      </c>
      <c r="B522" s="83" t="s">
        <v>1926</v>
      </c>
      <c r="C522" s="83">
        <v>2</v>
      </c>
      <c r="D522" s="110">
        <v>0.004754061001096127</v>
      </c>
      <c r="E522" s="110">
        <v>1.7947203518168364</v>
      </c>
      <c r="F522" s="83" t="s">
        <v>1382</v>
      </c>
      <c r="G522" s="83" t="b">
        <v>0</v>
      </c>
      <c r="H522" s="83" t="b">
        <v>0</v>
      </c>
      <c r="I522" s="83" t="b">
        <v>0</v>
      </c>
      <c r="J522" s="83" t="b">
        <v>0</v>
      </c>
      <c r="K522" s="83" t="b">
        <v>0</v>
      </c>
      <c r="L522" s="83" t="b">
        <v>0</v>
      </c>
    </row>
    <row r="523" spans="1:12" ht="15">
      <c r="A523" s="84" t="s">
        <v>1926</v>
      </c>
      <c r="B523" s="83" t="s">
        <v>1927</v>
      </c>
      <c r="C523" s="83">
        <v>2</v>
      </c>
      <c r="D523" s="110">
        <v>0.004754061001096127</v>
      </c>
      <c r="E523" s="110">
        <v>2.271841606536499</v>
      </c>
      <c r="F523" s="83" t="s">
        <v>1382</v>
      </c>
      <c r="G523" s="83" t="b">
        <v>0</v>
      </c>
      <c r="H523" s="83" t="b">
        <v>0</v>
      </c>
      <c r="I523" s="83" t="b">
        <v>0</v>
      </c>
      <c r="J523" s="83" t="b">
        <v>0</v>
      </c>
      <c r="K523" s="83" t="b">
        <v>0</v>
      </c>
      <c r="L523" s="83" t="b">
        <v>0</v>
      </c>
    </row>
    <row r="524" spans="1:12" ht="15">
      <c r="A524" s="84" t="s">
        <v>1443</v>
      </c>
      <c r="B524" s="83" t="s">
        <v>1929</v>
      </c>
      <c r="C524" s="83">
        <v>2</v>
      </c>
      <c r="D524" s="110">
        <v>0.004754061001096127</v>
      </c>
      <c r="E524" s="110">
        <v>1.5314789170422551</v>
      </c>
      <c r="F524" s="83" t="s">
        <v>1382</v>
      </c>
      <c r="G524" s="83" t="b">
        <v>0</v>
      </c>
      <c r="H524" s="83" t="b">
        <v>0</v>
      </c>
      <c r="I524" s="83" t="b">
        <v>0</v>
      </c>
      <c r="J524" s="83" t="b">
        <v>0</v>
      </c>
      <c r="K524" s="83" t="b">
        <v>0</v>
      </c>
      <c r="L524" s="83" t="b">
        <v>0</v>
      </c>
    </row>
    <row r="525" spans="1:12" ht="15">
      <c r="A525" s="84" t="s">
        <v>1930</v>
      </c>
      <c r="B525" s="83" t="s">
        <v>1931</v>
      </c>
      <c r="C525" s="83">
        <v>2</v>
      </c>
      <c r="D525" s="110">
        <v>0.004754061001096127</v>
      </c>
      <c r="E525" s="110">
        <v>2.271841606536499</v>
      </c>
      <c r="F525" s="83" t="s">
        <v>1382</v>
      </c>
      <c r="G525" s="83" t="b">
        <v>0</v>
      </c>
      <c r="H525" s="83" t="b">
        <v>0</v>
      </c>
      <c r="I525" s="83" t="b">
        <v>0</v>
      </c>
      <c r="J525" s="83" t="b">
        <v>0</v>
      </c>
      <c r="K525" s="83" t="b">
        <v>0</v>
      </c>
      <c r="L525" s="83" t="b">
        <v>0</v>
      </c>
    </row>
    <row r="526" spans="1:12" ht="15">
      <c r="A526" s="84" t="s">
        <v>1931</v>
      </c>
      <c r="B526" s="83" t="s">
        <v>1932</v>
      </c>
      <c r="C526" s="83">
        <v>2</v>
      </c>
      <c r="D526" s="110">
        <v>0.004754061001096127</v>
      </c>
      <c r="E526" s="110">
        <v>2.271841606536499</v>
      </c>
      <c r="F526" s="83" t="s">
        <v>1382</v>
      </c>
      <c r="G526" s="83" t="b">
        <v>0</v>
      </c>
      <c r="H526" s="83" t="b">
        <v>0</v>
      </c>
      <c r="I526" s="83" t="b">
        <v>0</v>
      </c>
      <c r="J526" s="83" t="b">
        <v>0</v>
      </c>
      <c r="K526" s="83" t="b">
        <v>0</v>
      </c>
      <c r="L526" s="83" t="b">
        <v>0</v>
      </c>
    </row>
    <row r="527" spans="1:12" ht="15">
      <c r="A527" s="84" t="s">
        <v>1933</v>
      </c>
      <c r="B527" s="83" t="s">
        <v>1934</v>
      </c>
      <c r="C527" s="83">
        <v>2</v>
      </c>
      <c r="D527" s="110">
        <v>0.004754061001096127</v>
      </c>
      <c r="E527" s="110">
        <v>2.271841606536499</v>
      </c>
      <c r="F527" s="83" t="s">
        <v>1382</v>
      </c>
      <c r="G527" s="83" t="b">
        <v>0</v>
      </c>
      <c r="H527" s="83" t="b">
        <v>0</v>
      </c>
      <c r="I527" s="83" t="b">
        <v>0</v>
      </c>
      <c r="J527" s="83" t="b">
        <v>0</v>
      </c>
      <c r="K527" s="83" t="b">
        <v>0</v>
      </c>
      <c r="L527" s="83" t="b">
        <v>0</v>
      </c>
    </row>
    <row r="528" spans="1:12" ht="15">
      <c r="A528" s="84" t="s">
        <v>1935</v>
      </c>
      <c r="B528" s="83" t="s">
        <v>1936</v>
      </c>
      <c r="C528" s="83">
        <v>2</v>
      </c>
      <c r="D528" s="110">
        <v>0.0062938563753364395</v>
      </c>
      <c r="E528" s="110">
        <v>2.271841606536499</v>
      </c>
      <c r="F528" s="83" t="s">
        <v>1382</v>
      </c>
      <c r="G528" s="83" t="b">
        <v>0</v>
      </c>
      <c r="H528" s="83" t="b">
        <v>0</v>
      </c>
      <c r="I528" s="83" t="b">
        <v>0</v>
      </c>
      <c r="J528" s="83" t="b">
        <v>0</v>
      </c>
      <c r="K528" s="83" t="b">
        <v>0</v>
      </c>
      <c r="L528" s="83" t="b">
        <v>0</v>
      </c>
    </row>
    <row r="529" spans="1:12" ht="15">
      <c r="A529" s="84" t="s">
        <v>1936</v>
      </c>
      <c r="B529" s="83" t="s">
        <v>1581</v>
      </c>
      <c r="C529" s="83">
        <v>2</v>
      </c>
      <c r="D529" s="110">
        <v>0.0062938563753364395</v>
      </c>
      <c r="E529" s="110">
        <v>1.8739015978644613</v>
      </c>
      <c r="F529" s="83" t="s">
        <v>1382</v>
      </c>
      <c r="G529" s="83" t="b">
        <v>0</v>
      </c>
      <c r="H529" s="83" t="b">
        <v>0</v>
      </c>
      <c r="I529" s="83" t="b">
        <v>0</v>
      </c>
      <c r="J529" s="83" t="b">
        <v>0</v>
      </c>
      <c r="K529" s="83" t="b">
        <v>0</v>
      </c>
      <c r="L529" s="83" t="b">
        <v>0</v>
      </c>
    </row>
    <row r="530" spans="1:12" ht="15">
      <c r="A530" s="84" t="s">
        <v>1488</v>
      </c>
      <c r="B530" s="83" t="s">
        <v>1634</v>
      </c>
      <c r="C530" s="83">
        <v>2</v>
      </c>
      <c r="D530" s="110">
        <v>0.0062938563753364395</v>
      </c>
      <c r="E530" s="110">
        <v>1.6697816152085365</v>
      </c>
      <c r="F530" s="83" t="s">
        <v>1382</v>
      </c>
      <c r="G530" s="83" t="b">
        <v>0</v>
      </c>
      <c r="H530" s="83" t="b">
        <v>0</v>
      </c>
      <c r="I530" s="83" t="b">
        <v>0</v>
      </c>
      <c r="J530" s="83" t="b">
        <v>0</v>
      </c>
      <c r="K530" s="83" t="b">
        <v>0</v>
      </c>
      <c r="L530" s="83" t="b">
        <v>0</v>
      </c>
    </row>
    <row r="531" spans="1:12" ht="15">
      <c r="A531" s="84" t="s">
        <v>1634</v>
      </c>
      <c r="B531" s="83" t="s">
        <v>1937</v>
      </c>
      <c r="C531" s="83">
        <v>2</v>
      </c>
      <c r="D531" s="110">
        <v>0.0062938563753364395</v>
      </c>
      <c r="E531" s="110">
        <v>1.9708116108725178</v>
      </c>
      <c r="F531" s="83" t="s">
        <v>1382</v>
      </c>
      <c r="G531" s="83" t="b">
        <v>0</v>
      </c>
      <c r="H531" s="83" t="b">
        <v>0</v>
      </c>
      <c r="I531" s="83" t="b">
        <v>0</v>
      </c>
      <c r="J531" s="83" t="b">
        <v>0</v>
      </c>
      <c r="K531" s="83" t="b">
        <v>0</v>
      </c>
      <c r="L531" s="83" t="b">
        <v>0</v>
      </c>
    </row>
    <row r="532" spans="1:12" ht="15">
      <c r="A532" s="84" t="s">
        <v>1937</v>
      </c>
      <c r="B532" s="83" t="s">
        <v>1938</v>
      </c>
      <c r="C532" s="83">
        <v>2</v>
      </c>
      <c r="D532" s="110">
        <v>0.0062938563753364395</v>
      </c>
      <c r="E532" s="110">
        <v>2.271841606536499</v>
      </c>
      <c r="F532" s="83" t="s">
        <v>1382</v>
      </c>
      <c r="G532" s="83" t="b">
        <v>0</v>
      </c>
      <c r="H532" s="83" t="b">
        <v>0</v>
      </c>
      <c r="I532" s="83" t="b">
        <v>0</v>
      </c>
      <c r="J532" s="83" t="b">
        <v>0</v>
      </c>
      <c r="K532" s="83" t="b">
        <v>0</v>
      </c>
      <c r="L532" s="83" t="b">
        <v>0</v>
      </c>
    </row>
    <row r="533" spans="1:12" ht="15">
      <c r="A533" s="84" t="s">
        <v>1938</v>
      </c>
      <c r="B533" s="83" t="s">
        <v>1443</v>
      </c>
      <c r="C533" s="83">
        <v>2</v>
      </c>
      <c r="D533" s="110">
        <v>0.0062938563753364395</v>
      </c>
      <c r="E533" s="110">
        <v>1.5314789170422551</v>
      </c>
      <c r="F533" s="83" t="s">
        <v>1382</v>
      </c>
      <c r="G533" s="83" t="b">
        <v>0</v>
      </c>
      <c r="H533" s="83" t="b">
        <v>0</v>
      </c>
      <c r="I533" s="83" t="b">
        <v>0</v>
      </c>
      <c r="J533" s="83" t="b">
        <v>0</v>
      </c>
      <c r="K533" s="83" t="b">
        <v>0</v>
      </c>
      <c r="L533" s="83" t="b">
        <v>0</v>
      </c>
    </row>
    <row r="534" spans="1:12" ht="15">
      <c r="A534" s="84" t="s">
        <v>1443</v>
      </c>
      <c r="B534" s="83" t="s">
        <v>1581</v>
      </c>
      <c r="C534" s="83">
        <v>2</v>
      </c>
      <c r="D534" s="110">
        <v>0.0062938563753364395</v>
      </c>
      <c r="E534" s="110">
        <v>1.1335389083702174</v>
      </c>
      <c r="F534" s="83" t="s">
        <v>1382</v>
      </c>
      <c r="G534" s="83" t="b">
        <v>0</v>
      </c>
      <c r="H534" s="83" t="b">
        <v>0</v>
      </c>
      <c r="I534" s="83" t="b">
        <v>0</v>
      </c>
      <c r="J534" s="83" t="b">
        <v>0</v>
      </c>
      <c r="K534" s="83" t="b">
        <v>0</v>
      </c>
      <c r="L534" s="83" t="b">
        <v>0</v>
      </c>
    </row>
    <row r="535" spans="1:12" ht="15">
      <c r="A535" s="84" t="s">
        <v>1443</v>
      </c>
      <c r="B535" s="83" t="s">
        <v>1725</v>
      </c>
      <c r="C535" s="83">
        <v>2</v>
      </c>
      <c r="D535" s="110">
        <v>0.004754061001096127</v>
      </c>
      <c r="E535" s="110">
        <v>1.3553876579865738</v>
      </c>
      <c r="F535" s="83" t="s">
        <v>1382</v>
      </c>
      <c r="G535" s="83" t="b">
        <v>0</v>
      </c>
      <c r="H535" s="83" t="b">
        <v>0</v>
      </c>
      <c r="I535" s="83" t="b">
        <v>0</v>
      </c>
      <c r="J535" s="83" t="b">
        <v>0</v>
      </c>
      <c r="K535" s="83" t="b">
        <v>0</v>
      </c>
      <c r="L535" s="83" t="b">
        <v>0</v>
      </c>
    </row>
    <row r="536" spans="1:12" ht="15">
      <c r="A536" s="84" t="s">
        <v>1506</v>
      </c>
      <c r="B536" s="83" t="s">
        <v>1481</v>
      </c>
      <c r="C536" s="83">
        <v>2</v>
      </c>
      <c r="D536" s="110">
        <v>0.0062938563753364395</v>
      </c>
      <c r="E536" s="110">
        <v>2.271841606536499</v>
      </c>
      <c r="F536" s="83" t="s">
        <v>1382</v>
      </c>
      <c r="G536" s="83" t="b">
        <v>0</v>
      </c>
      <c r="H536" s="83" t="b">
        <v>0</v>
      </c>
      <c r="I536" s="83" t="b">
        <v>0</v>
      </c>
      <c r="J536" s="83" t="b">
        <v>0</v>
      </c>
      <c r="K536" s="83" t="b">
        <v>0</v>
      </c>
      <c r="L536" s="83" t="b">
        <v>0</v>
      </c>
    </row>
    <row r="537" spans="1:12" ht="15">
      <c r="A537" s="84" t="s">
        <v>1481</v>
      </c>
      <c r="B537" s="83" t="s">
        <v>1450</v>
      </c>
      <c r="C537" s="83">
        <v>2</v>
      </c>
      <c r="D537" s="110">
        <v>0.0062938563753364395</v>
      </c>
      <c r="E537" s="110">
        <v>2.271841606536499</v>
      </c>
      <c r="F537" s="83" t="s">
        <v>1382</v>
      </c>
      <c r="G537" s="83" t="b">
        <v>0</v>
      </c>
      <c r="H537" s="83" t="b">
        <v>0</v>
      </c>
      <c r="I537" s="83" t="b">
        <v>0</v>
      </c>
      <c r="J537" s="83" t="b">
        <v>0</v>
      </c>
      <c r="K537" s="83" t="b">
        <v>0</v>
      </c>
      <c r="L537" s="83" t="b">
        <v>0</v>
      </c>
    </row>
    <row r="538" spans="1:12" ht="15">
      <c r="A538" s="84" t="s">
        <v>1450</v>
      </c>
      <c r="B538" s="83" t="s">
        <v>1939</v>
      </c>
      <c r="C538" s="83">
        <v>2</v>
      </c>
      <c r="D538" s="110">
        <v>0.0062938563753364395</v>
      </c>
      <c r="E538" s="110">
        <v>2.271841606536499</v>
      </c>
      <c r="F538" s="83" t="s">
        <v>1382</v>
      </c>
      <c r="G538" s="83" t="b">
        <v>0</v>
      </c>
      <c r="H538" s="83" t="b">
        <v>0</v>
      </c>
      <c r="I538" s="83" t="b">
        <v>0</v>
      </c>
      <c r="J538" s="83" t="b">
        <v>0</v>
      </c>
      <c r="K538" s="83" t="b">
        <v>0</v>
      </c>
      <c r="L538" s="83" t="b">
        <v>0</v>
      </c>
    </row>
    <row r="539" spans="1:12" ht="15">
      <c r="A539" s="84" t="s">
        <v>1939</v>
      </c>
      <c r="B539" s="83" t="s">
        <v>1558</v>
      </c>
      <c r="C539" s="83">
        <v>2</v>
      </c>
      <c r="D539" s="110">
        <v>0.0062938563753364395</v>
      </c>
      <c r="E539" s="110">
        <v>2.271841606536499</v>
      </c>
      <c r="F539" s="83" t="s">
        <v>1382</v>
      </c>
      <c r="G539" s="83" t="b">
        <v>0</v>
      </c>
      <c r="H539" s="83" t="b">
        <v>0</v>
      </c>
      <c r="I539" s="83" t="b">
        <v>0</v>
      </c>
      <c r="J539" s="83" t="b">
        <v>0</v>
      </c>
      <c r="K539" s="83" t="b">
        <v>0</v>
      </c>
      <c r="L539" s="83" t="b">
        <v>0</v>
      </c>
    </row>
    <row r="540" spans="1:12" ht="15">
      <c r="A540" s="84" t="s">
        <v>1558</v>
      </c>
      <c r="B540" s="83" t="s">
        <v>1544</v>
      </c>
      <c r="C540" s="83">
        <v>2</v>
      </c>
      <c r="D540" s="110">
        <v>0.0062938563753364395</v>
      </c>
      <c r="E540" s="110">
        <v>2.271841606536499</v>
      </c>
      <c r="F540" s="83" t="s">
        <v>1382</v>
      </c>
      <c r="G540" s="83" t="b">
        <v>0</v>
      </c>
      <c r="H540" s="83" t="b">
        <v>0</v>
      </c>
      <c r="I540" s="83" t="b">
        <v>0</v>
      </c>
      <c r="J540" s="83" t="b">
        <v>0</v>
      </c>
      <c r="K540" s="83" t="b">
        <v>0</v>
      </c>
      <c r="L540" s="83" t="b">
        <v>0</v>
      </c>
    </row>
    <row r="541" spans="1:12" ht="15">
      <c r="A541" s="84" t="s">
        <v>1544</v>
      </c>
      <c r="B541" s="83" t="s">
        <v>1465</v>
      </c>
      <c r="C541" s="83">
        <v>2</v>
      </c>
      <c r="D541" s="110">
        <v>0.0062938563753364395</v>
      </c>
      <c r="E541" s="110">
        <v>2.271841606536499</v>
      </c>
      <c r="F541" s="83" t="s">
        <v>1382</v>
      </c>
      <c r="G541" s="83" t="b">
        <v>0</v>
      </c>
      <c r="H541" s="83" t="b">
        <v>0</v>
      </c>
      <c r="I541" s="83" t="b">
        <v>0</v>
      </c>
      <c r="J541" s="83" t="b">
        <v>0</v>
      </c>
      <c r="K541" s="83" t="b">
        <v>0</v>
      </c>
      <c r="L541" s="83" t="b">
        <v>0</v>
      </c>
    </row>
    <row r="542" spans="1:12" ht="15">
      <c r="A542" s="84" t="s">
        <v>1543</v>
      </c>
      <c r="B542" s="83" t="s">
        <v>1726</v>
      </c>
      <c r="C542" s="83">
        <v>2</v>
      </c>
      <c r="D542" s="110">
        <v>0.004754061001096127</v>
      </c>
      <c r="E542" s="110">
        <v>1.618629092761155</v>
      </c>
      <c r="F542" s="83" t="s">
        <v>1382</v>
      </c>
      <c r="G542" s="83" t="b">
        <v>0</v>
      </c>
      <c r="H542" s="83" t="b">
        <v>0</v>
      </c>
      <c r="I542" s="83" t="b">
        <v>0</v>
      </c>
      <c r="J542" s="83" t="b">
        <v>0</v>
      </c>
      <c r="K542" s="83" t="b">
        <v>0</v>
      </c>
      <c r="L542" s="83" t="b">
        <v>0</v>
      </c>
    </row>
    <row r="543" spans="1:12" ht="15">
      <c r="A543" s="84" t="s">
        <v>1946</v>
      </c>
      <c r="B543" s="83" t="s">
        <v>1947</v>
      </c>
      <c r="C543" s="83">
        <v>2</v>
      </c>
      <c r="D543" s="110">
        <v>0.004754061001096127</v>
      </c>
      <c r="E543" s="110">
        <v>2.271841606536499</v>
      </c>
      <c r="F543" s="83" t="s">
        <v>1382</v>
      </c>
      <c r="G543" s="83" t="b">
        <v>0</v>
      </c>
      <c r="H543" s="83" t="b">
        <v>0</v>
      </c>
      <c r="I543" s="83" t="b">
        <v>0</v>
      </c>
      <c r="J543" s="83" t="b">
        <v>0</v>
      </c>
      <c r="K543" s="83" t="b">
        <v>0</v>
      </c>
      <c r="L543" s="83" t="b">
        <v>0</v>
      </c>
    </row>
    <row r="544" spans="1:12" ht="15">
      <c r="A544" s="84" t="s">
        <v>1479</v>
      </c>
      <c r="B544" s="83" t="s">
        <v>1446</v>
      </c>
      <c r="C544" s="83">
        <v>2</v>
      </c>
      <c r="D544" s="110">
        <v>0.0062938563753364395</v>
      </c>
      <c r="E544" s="110">
        <v>2.271841606536499</v>
      </c>
      <c r="F544" s="83" t="s">
        <v>1382</v>
      </c>
      <c r="G544" s="83" t="b">
        <v>0</v>
      </c>
      <c r="H544" s="83" t="b">
        <v>0</v>
      </c>
      <c r="I544" s="83" t="b">
        <v>0</v>
      </c>
      <c r="J544" s="83" t="b">
        <v>0</v>
      </c>
      <c r="K544" s="83" t="b">
        <v>0</v>
      </c>
      <c r="L544" s="83" t="b">
        <v>0</v>
      </c>
    </row>
    <row r="545" spans="1:12" ht="15">
      <c r="A545" s="84" t="s">
        <v>1446</v>
      </c>
      <c r="B545" s="83" t="s">
        <v>1480</v>
      </c>
      <c r="C545" s="83">
        <v>2</v>
      </c>
      <c r="D545" s="110">
        <v>0.0062938563753364395</v>
      </c>
      <c r="E545" s="110">
        <v>2.271841606536499</v>
      </c>
      <c r="F545" s="83" t="s">
        <v>1382</v>
      </c>
      <c r="G545" s="83" t="b">
        <v>0</v>
      </c>
      <c r="H545" s="83" t="b">
        <v>0</v>
      </c>
      <c r="I545" s="83" t="b">
        <v>0</v>
      </c>
      <c r="J545" s="83" t="b">
        <v>0</v>
      </c>
      <c r="K545" s="83" t="b">
        <v>0</v>
      </c>
      <c r="L545" s="83" t="b">
        <v>0</v>
      </c>
    </row>
    <row r="546" spans="1:12" ht="15">
      <c r="A546" s="84" t="s">
        <v>1480</v>
      </c>
      <c r="B546" s="83" t="s">
        <v>1538</v>
      </c>
      <c r="C546" s="83">
        <v>2</v>
      </c>
      <c r="D546" s="110">
        <v>0.0062938563753364395</v>
      </c>
      <c r="E546" s="110">
        <v>2.271841606536499</v>
      </c>
      <c r="F546" s="83" t="s">
        <v>1382</v>
      </c>
      <c r="G546" s="83" t="b">
        <v>0</v>
      </c>
      <c r="H546" s="83" t="b">
        <v>0</v>
      </c>
      <c r="I546" s="83" t="b">
        <v>0</v>
      </c>
      <c r="J546" s="83" t="b">
        <v>0</v>
      </c>
      <c r="K546" s="83" t="b">
        <v>0</v>
      </c>
      <c r="L546" s="83" t="b">
        <v>0</v>
      </c>
    </row>
    <row r="547" spans="1:12" ht="15">
      <c r="A547" s="84" t="s">
        <v>1437</v>
      </c>
      <c r="B547" s="83" t="s">
        <v>1957</v>
      </c>
      <c r="C547" s="83">
        <v>2</v>
      </c>
      <c r="D547" s="110">
        <v>0.0062938563753364395</v>
      </c>
      <c r="E547" s="110">
        <v>2.271841606536499</v>
      </c>
      <c r="F547" s="83" t="s">
        <v>1382</v>
      </c>
      <c r="G547" s="83" t="b">
        <v>0</v>
      </c>
      <c r="H547" s="83" t="b">
        <v>0</v>
      </c>
      <c r="I547" s="83" t="b">
        <v>0</v>
      </c>
      <c r="J547" s="83" t="b">
        <v>0</v>
      </c>
      <c r="K547" s="83" t="b">
        <v>0</v>
      </c>
      <c r="L547" s="83" t="b">
        <v>0</v>
      </c>
    </row>
    <row r="548" spans="1:12" ht="15">
      <c r="A548" s="84" t="s">
        <v>1957</v>
      </c>
      <c r="B548" s="83" t="s">
        <v>1428</v>
      </c>
      <c r="C548" s="83">
        <v>2</v>
      </c>
      <c r="D548" s="110">
        <v>0.0062938563753364395</v>
      </c>
      <c r="E548" s="110">
        <v>1.9708116108725178</v>
      </c>
      <c r="F548" s="83" t="s">
        <v>1382</v>
      </c>
      <c r="G548" s="83" t="b">
        <v>0</v>
      </c>
      <c r="H548" s="83" t="b">
        <v>0</v>
      </c>
      <c r="I548" s="83" t="b">
        <v>0</v>
      </c>
      <c r="J548" s="83" t="b">
        <v>0</v>
      </c>
      <c r="K548" s="83" t="b">
        <v>0</v>
      </c>
      <c r="L548" s="83" t="b">
        <v>0</v>
      </c>
    </row>
    <row r="549" spans="1:12" ht="15">
      <c r="A549" s="84" t="s">
        <v>1428</v>
      </c>
      <c r="B549" s="83" t="s">
        <v>1958</v>
      </c>
      <c r="C549" s="83">
        <v>2</v>
      </c>
      <c r="D549" s="110">
        <v>0.0062938563753364395</v>
      </c>
      <c r="E549" s="110">
        <v>1.9708116108725178</v>
      </c>
      <c r="F549" s="83" t="s">
        <v>1382</v>
      </c>
      <c r="G549" s="83" t="b">
        <v>0</v>
      </c>
      <c r="H549" s="83" t="b">
        <v>0</v>
      </c>
      <c r="I549" s="83" t="b">
        <v>0</v>
      </c>
      <c r="J549" s="83" t="b">
        <v>0</v>
      </c>
      <c r="K549" s="83" t="b">
        <v>0</v>
      </c>
      <c r="L549" s="83" t="b">
        <v>0</v>
      </c>
    </row>
    <row r="550" spans="1:12" ht="15">
      <c r="A550" s="84" t="s">
        <v>1958</v>
      </c>
      <c r="B550" s="83" t="s">
        <v>1959</v>
      </c>
      <c r="C550" s="83">
        <v>2</v>
      </c>
      <c r="D550" s="110">
        <v>0.0062938563753364395</v>
      </c>
      <c r="E550" s="110">
        <v>2.271841606536499</v>
      </c>
      <c r="F550" s="83" t="s">
        <v>1382</v>
      </c>
      <c r="G550" s="83" t="b">
        <v>0</v>
      </c>
      <c r="H550" s="83" t="b">
        <v>0</v>
      </c>
      <c r="I550" s="83" t="b">
        <v>0</v>
      </c>
      <c r="J550" s="83" t="b">
        <v>0</v>
      </c>
      <c r="K550" s="83" t="b">
        <v>0</v>
      </c>
      <c r="L550" s="83" t="b">
        <v>0</v>
      </c>
    </row>
    <row r="551" spans="1:12" ht="15">
      <c r="A551" s="84" t="s">
        <v>1959</v>
      </c>
      <c r="B551" s="83" t="s">
        <v>1960</v>
      </c>
      <c r="C551" s="83">
        <v>2</v>
      </c>
      <c r="D551" s="110">
        <v>0.0062938563753364395</v>
      </c>
      <c r="E551" s="110">
        <v>2.271841606536499</v>
      </c>
      <c r="F551" s="83" t="s">
        <v>1382</v>
      </c>
      <c r="G551" s="83" t="b">
        <v>0</v>
      </c>
      <c r="H551" s="83" t="b">
        <v>0</v>
      </c>
      <c r="I551" s="83" t="b">
        <v>0</v>
      </c>
      <c r="J551" s="83" t="b">
        <v>0</v>
      </c>
      <c r="K551" s="83" t="b">
        <v>0</v>
      </c>
      <c r="L551" s="83" t="b">
        <v>0</v>
      </c>
    </row>
    <row r="552" spans="1:12" ht="15">
      <c r="A552" s="84" t="s">
        <v>1428</v>
      </c>
      <c r="B552" s="83" t="s">
        <v>1546</v>
      </c>
      <c r="C552" s="83">
        <v>2</v>
      </c>
      <c r="D552" s="110">
        <v>0.0062938563753364395</v>
      </c>
      <c r="E552" s="110">
        <v>1.9708116108725178</v>
      </c>
      <c r="F552" s="83" t="s">
        <v>1382</v>
      </c>
      <c r="G552" s="83" t="b">
        <v>0</v>
      </c>
      <c r="H552" s="83" t="b">
        <v>0</v>
      </c>
      <c r="I552" s="83" t="b">
        <v>0</v>
      </c>
      <c r="J552" s="83" t="b">
        <v>0</v>
      </c>
      <c r="K552" s="83" t="b">
        <v>0</v>
      </c>
      <c r="L552" s="83" t="b">
        <v>0</v>
      </c>
    </row>
    <row r="553" spans="1:12" ht="15">
      <c r="A553" s="84" t="s">
        <v>1632</v>
      </c>
      <c r="B553" s="83" t="s">
        <v>1632</v>
      </c>
      <c r="C553" s="83">
        <v>3</v>
      </c>
      <c r="D553" s="110">
        <v>0.03243758591542183</v>
      </c>
      <c r="E553" s="110">
        <v>1.3664229572259727</v>
      </c>
      <c r="F553" s="83" t="s">
        <v>1383</v>
      </c>
      <c r="G553" s="83" t="b">
        <v>0</v>
      </c>
      <c r="H553" s="83" t="b">
        <v>0</v>
      </c>
      <c r="I553" s="83" t="b">
        <v>0</v>
      </c>
      <c r="J553" s="83" t="b">
        <v>0</v>
      </c>
      <c r="K553" s="83" t="b">
        <v>0</v>
      </c>
      <c r="L553" s="83" t="b">
        <v>0</v>
      </c>
    </row>
    <row r="554" spans="1:12" ht="15">
      <c r="A554" s="84" t="s">
        <v>1507</v>
      </c>
      <c r="B554" s="83" t="s">
        <v>1429</v>
      </c>
      <c r="C554" s="83">
        <v>2</v>
      </c>
      <c r="D554" s="110">
        <v>0.021625057276947884</v>
      </c>
      <c r="E554" s="110">
        <v>1.0934216851622351</v>
      </c>
      <c r="F554" s="83" t="s">
        <v>1383</v>
      </c>
      <c r="G554" s="83" t="b">
        <v>0</v>
      </c>
      <c r="H554" s="83" t="b">
        <v>0</v>
      </c>
      <c r="I554" s="83" t="b">
        <v>0</v>
      </c>
      <c r="J554" s="83" t="b">
        <v>0</v>
      </c>
      <c r="K554" s="83" t="b">
        <v>0</v>
      </c>
      <c r="L554" s="83" t="b">
        <v>0</v>
      </c>
    </row>
    <row r="555" spans="1:12" ht="15">
      <c r="A555" s="84" t="s">
        <v>1625</v>
      </c>
      <c r="B555" s="83" t="s">
        <v>1601</v>
      </c>
      <c r="C555" s="83">
        <v>2</v>
      </c>
      <c r="D555" s="110">
        <v>0.021625057276947884</v>
      </c>
      <c r="E555" s="110">
        <v>1.6674529528899538</v>
      </c>
      <c r="F555" s="83" t="s">
        <v>1383</v>
      </c>
      <c r="G555" s="83" t="b">
        <v>0</v>
      </c>
      <c r="H555" s="83" t="b">
        <v>0</v>
      </c>
      <c r="I555" s="83" t="b">
        <v>0</v>
      </c>
      <c r="J555" s="83" t="b">
        <v>0</v>
      </c>
      <c r="K555" s="83" t="b">
        <v>0</v>
      </c>
      <c r="L555" s="83" t="b">
        <v>0</v>
      </c>
    </row>
    <row r="556" spans="1:12" ht="15">
      <c r="A556" s="84" t="s">
        <v>1517</v>
      </c>
      <c r="B556" s="83" t="s">
        <v>1562</v>
      </c>
      <c r="C556" s="83">
        <v>4</v>
      </c>
      <c r="D556" s="110">
        <v>0.028927574587728475</v>
      </c>
      <c r="E556" s="110">
        <v>1.3457003905834422</v>
      </c>
      <c r="F556" s="83" t="s">
        <v>1384</v>
      </c>
      <c r="G556" s="83" t="b">
        <v>1</v>
      </c>
      <c r="H556" s="83" t="b">
        <v>0</v>
      </c>
      <c r="I556" s="83" t="b">
        <v>0</v>
      </c>
      <c r="J556" s="83" t="b">
        <v>0</v>
      </c>
      <c r="K556" s="83" t="b">
        <v>0</v>
      </c>
      <c r="L556" s="83" t="b">
        <v>0</v>
      </c>
    </row>
    <row r="557" spans="1:12" ht="15">
      <c r="A557" s="84" t="s">
        <v>1436</v>
      </c>
      <c r="B557" s="83" t="s">
        <v>1515</v>
      </c>
      <c r="C557" s="83">
        <v>2</v>
      </c>
      <c r="D557" s="110">
        <v>0.010282815131864497</v>
      </c>
      <c r="E557" s="110">
        <v>1.044670394919461</v>
      </c>
      <c r="F557" s="83" t="s">
        <v>1384</v>
      </c>
      <c r="G557" s="83" t="b">
        <v>0</v>
      </c>
      <c r="H557" s="83" t="b">
        <v>0</v>
      </c>
      <c r="I557" s="83" t="b">
        <v>0</v>
      </c>
      <c r="J557" s="83" t="b">
        <v>0</v>
      </c>
      <c r="K557" s="83" t="b">
        <v>0</v>
      </c>
      <c r="L557" s="83" t="b">
        <v>0</v>
      </c>
    </row>
    <row r="558" spans="1:12" ht="15">
      <c r="A558" s="84" t="s">
        <v>1797</v>
      </c>
      <c r="B558" s="83" t="s">
        <v>1436</v>
      </c>
      <c r="C558" s="83">
        <v>2</v>
      </c>
      <c r="D558" s="110">
        <v>0.014463787293864237</v>
      </c>
      <c r="E558" s="110">
        <v>1.3457003905834422</v>
      </c>
      <c r="F558" s="83" t="s">
        <v>1384</v>
      </c>
      <c r="G558" s="83" t="b">
        <v>0</v>
      </c>
      <c r="H558" s="83" t="b">
        <v>0</v>
      </c>
      <c r="I558" s="83" t="b">
        <v>0</v>
      </c>
      <c r="J558" s="83" t="b">
        <v>0</v>
      </c>
      <c r="K558" s="83" t="b">
        <v>0</v>
      </c>
      <c r="L558" s="83" t="b">
        <v>0</v>
      </c>
    </row>
    <row r="559" spans="1:12" ht="15">
      <c r="A559" s="84" t="s">
        <v>1517</v>
      </c>
      <c r="B559" s="83" t="s">
        <v>1496</v>
      </c>
      <c r="C559" s="83">
        <v>2</v>
      </c>
      <c r="D559" s="110">
        <v>0.014463787293864237</v>
      </c>
      <c r="E559" s="110">
        <v>1.044670394919461</v>
      </c>
      <c r="F559" s="83" t="s">
        <v>1384</v>
      </c>
      <c r="G559" s="83" t="b">
        <v>1</v>
      </c>
      <c r="H559" s="83" t="b">
        <v>0</v>
      </c>
      <c r="I559" s="83" t="b">
        <v>0</v>
      </c>
      <c r="J559" s="83" t="b">
        <v>0</v>
      </c>
      <c r="K559" s="83" t="b">
        <v>0</v>
      </c>
      <c r="L559" s="83" t="b">
        <v>0</v>
      </c>
    </row>
    <row r="560" spans="1:12" ht="15">
      <c r="A560" s="84" t="s">
        <v>1799</v>
      </c>
      <c r="B560" s="83" t="s">
        <v>1800</v>
      </c>
      <c r="C560" s="83">
        <v>2</v>
      </c>
      <c r="D560" s="110">
        <v>0.014463787293864237</v>
      </c>
      <c r="E560" s="110">
        <v>1.8228216453031045</v>
      </c>
      <c r="F560" s="83" t="s">
        <v>1384</v>
      </c>
      <c r="G560" s="83" t="b">
        <v>0</v>
      </c>
      <c r="H560" s="83" t="b">
        <v>0</v>
      </c>
      <c r="I560" s="83" t="b">
        <v>0</v>
      </c>
      <c r="J560" s="83" t="b">
        <v>0</v>
      </c>
      <c r="K560" s="83" t="b">
        <v>0</v>
      </c>
      <c r="L560" s="83" t="b">
        <v>0</v>
      </c>
    </row>
    <row r="561" spans="1:12" ht="15">
      <c r="A561" s="84" t="s">
        <v>1562</v>
      </c>
      <c r="B561" s="83" t="s">
        <v>1564</v>
      </c>
      <c r="C561" s="83">
        <v>2</v>
      </c>
      <c r="D561" s="110">
        <v>0.014463787293864237</v>
      </c>
      <c r="E561" s="110">
        <v>1.5217916496391235</v>
      </c>
      <c r="F561" s="83" t="s">
        <v>1384</v>
      </c>
      <c r="G561" s="83" t="b">
        <v>0</v>
      </c>
      <c r="H561" s="83" t="b">
        <v>0</v>
      </c>
      <c r="I561" s="83" t="b">
        <v>0</v>
      </c>
      <c r="J561" s="83" t="b">
        <v>0</v>
      </c>
      <c r="K561" s="83" t="b">
        <v>0</v>
      </c>
      <c r="L561" s="83" t="b">
        <v>0</v>
      </c>
    </row>
    <row r="562" spans="1:12" ht="15">
      <c r="A562" s="84" t="s">
        <v>1750</v>
      </c>
      <c r="B562" s="83" t="s">
        <v>1751</v>
      </c>
      <c r="C562" s="83">
        <v>3</v>
      </c>
      <c r="D562" s="110">
        <v>0.01392961043069744</v>
      </c>
      <c r="E562" s="110">
        <v>1.9173304261065538</v>
      </c>
      <c r="F562" s="83" t="s">
        <v>1385</v>
      </c>
      <c r="G562" s="83" t="b">
        <v>0</v>
      </c>
      <c r="H562" s="83" t="b">
        <v>0</v>
      </c>
      <c r="I562" s="83" t="b">
        <v>0</v>
      </c>
      <c r="J562" s="83" t="b">
        <v>0</v>
      </c>
      <c r="K562" s="83" t="b">
        <v>0</v>
      </c>
      <c r="L562" s="83" t="b">
        <v>0</v>
      </c>
    </row>
    <row r="563" spans="1:12" ht="15">
      <c r="A563" s="84" t="s">
        <v>1985</v>
      </c>
      <c r="B563" s="83" t="s">
        <v>1741</v>
      </c>
      <c r="C563" s="83">
        <v>2</v>
      </c>
      <c r="D563" s="110">
        <v>0.007014482458221077</v>
      </c>
      <c r="E563" s="110">
        <v>1.9173304261065538</v>
      </c>
      <c r="F563" s="83" t="s">
        <v>1385</v>
      </c>
      <c r="G563" s="83" t="b">
        <v>0</v>
      </c>
      <c r="H563" s="83" t="b">
        <v>0</v>
      </c>
      <c r="I563" s="83" t="b">
        <v>0</v>
      </c>
      <c r="J563" s="83" t="b">
        <v>0</v>
      </c>
      <c r="K563" s="83" t="b">
        <v>0</v>
      </c>
      <c r="L563" s="83" t="b">
        <v>0</v>
      </c>
    </row>
    <row r="564" spans="1:12" ht="15">
      <c r="A564" s="84" t="s">
        <v>1428</v>
      </c>
      <c r="B564" s="83" t="s">
        <v>1623</v>
      </c>
      <c r="C564" s="83">
        <v>2</v>
      </c>
      <c r="D564" s="110">
        <v>0.007014482458221077</v>
      </c>
      <c r="E564" s="110">
        <v>1.5193904174345163</v>
      </c>
      <c r="F564" s="83" t="s">
        <v>1385</v>
      </c>
      <c r="G564" s="83" t="b">
        <v>0</v>
      </c>
      <c r="H564" s="83" t="b">
        <v>0</v>
      </c>
      <c r="I564" s="83" t="b">
        <v>0</v>
      </c>
      <c r="J564" s="83" t="b">
        <v>0</v>
      </c>
      <c r="K564" s="83" t="b">
        <v>0</v>
      </c>
      <c r="L564" s="83" t="b">
        <v>0</v>
      </c>
    </row>
    <row r="565" spans="1:12" ht="15">
      <c r="A565" s="84" t="s">
        <v>1743</v>
      </c>
      <c r="B565" s="83" t="s">
        <v>1990</v>
      </c>
      <c r="C565" s="83">
        <v>2</v>
      </c>
      <c r="D565" s="110">
        <v>0.007014482458221077</v>
      </c>
      <c r="E565" s="110">
        <v>1.9173304261065538</v>
      </c>
      <c r="F565" s="83" t="s">
        <v>1385</v>
      </c>
      <c r="G565" s="83" t="b">
        <v>0</v>
      </c>
      <c r="H565" s="83" t="b">
        <v>0</v>
      </c>
      <c r="I565" s="83" t="b">
        <v>0</v>
      </c>
      <c r="J565" s="83" t="b">
        <v>0</v>
      </c>
      <c r="K565" s="83" t="b">
        <v>0</v>
      </c>
      <c r="L565" s="83" t="b">
        <v>0</v>
      </c>
    </row>
    <row r="566" spans="1:12" ht="15">
      <c r="A566" s="84" t="s">
        <v>1991</v>
      </c>
      <c r="B566" s="83" t="s">
        <v>1550</v>
      </c>
      <c r="C566" s="83">
        <v>2</v>
      </c>
      <c r="D566" s="110">
        <v>0.007014482458221077</v>
      </c>
      <c r="E566" s="110">
        <v>1.6163004304425728</v>
      </c>
      <c r="F566" s="83" t="s">
        <v>1385</v>
      </c>
      <c r="G566" s="83" t="b">
        <v>0</v>
      </c>
      <c r="H566" s="83" t="b">
        <v>0</v>
      </c>
      <c r="I566" s="83" t="b">
        <v>0</v>
      </c>
      <c r="J566" s="83" t="b">
        <v>0</v>
      </c>
      <c r="K566" s="83" t="b">
        <v>0</v>
      </c>
      <c r="L566" s="83" t="b">
        <v>0</v>
      </c>
    </row>
    <row r="567" spans="1:12" ht="15">
      <c r="A567" s="84" t="s">
        <v>1550</v>
      </c>
      <c r="B567" s="83" t="s">
        <v>1992</v>
      </c>
      <c r="C567" s="83">
        <v>2</v>
      </c>
      <c r="D567" s="110">
        <v>0.007014482458221077</v>
      </c>
      <c r="E567" s="110">
        <v>1.6163004304425728</v>
      </c>
      <c r="F567" s="83" t="s">
        <v>1385</v>
      </c>
      <c r="G567" s="83" t="b">
        <v>0</v>
      </c>
      <c r="H567" s="83" t="b">
        <v>0</v>
      </c>
      <c r="I567" s="83" t="b">
        <v>0</v>
      </c>
      <c r="J567" s="83" t="b">
        <v>0</v>
      </c>
      <c r="K567" s="83" t="b">
        <v>0</v>
      </c>
      <c r="L567" s="83" t="b">
        <v>0</v>
      </c>
    </row>
    <row r="568" spans="1:12" ht="15">
      <c r="A568" s="84" t="s">
        <v>2004</v>
      </c>
      <c r="B568" s="83" t="s">
        <v>1583</v>
      </c>
      <c r="C568" s="83">
        <v>2</v>
      </c>
      <c r="D568" s="110">
        <v>0.007014482458221077</v>
      </c>
      <c r="E568" s="110">
        <v>1.6954816764901974</v>
      </c>
      <c r="F568" s="83" t="s">
        <v>1385</v>
      </c>
      <c r="G568" s="83" t="b">
        <v>0</v>
      </c>
      <c r="H568" s="83" t="b">
        <v>0</v>
      </c>
      <c r="I568" s="83" t="b">
        <v>0</v>
      </c>
      <c r="J568" s="83" t="b">
        <v>0</v>
      </c>
      <c r="K568" s="83" t="b">
        <v>0</v>
      </c>
      <c r="L568" s="83" t="b">
        <v>0</v>
      </c>
    </row>
    <row r="569" spans="1:12" ht="15">
      <c r="A569" s="84" t="s">
        <v>1583</v>
      </c>
      <c r="B569" s="83" t="s">
        <v>1747</v>
      </c>
      <c r="C569" s="83">
        <v>2</v>
      </c>
      <c r="D569" s="110">
        <v>0.007014482458221077</v>
      </c>
      <c r="E569" s="110">
        <v>1.5193904174345163</v>
      </c>
      <c r="F569" s="83" t="s">
        <v>1385</v>
      </c>
      <c r="G569" s="83" t="b">
        <v>0</v>
      </c>
      <c r="H569" s="83" t="b">
        <v>0</v>
      </c>
      <c r="I569" s="83" t="b">
        <v>0</v>
      </c>
      <c r="J569" s="83" t="b">
        <v>0</v>
      </c>
      <c r="K569" s="83" t="b">
        <v>0</v>
      </c>
      <c r="L569" s="83" t="b">
        <v>0</v>
      </c>
    </row>
    <row r="570" spans="1:12" ht="15">
      <c r="A570" s="84" t="s">
        <v>1747</v>
      </c>
      <c r="B570" s="83" t="s">
        <v>1641</v>
      </c>
      <c r="C570" s="83">
        <v>2</v>
      </c>
      <c r="D570" s="110">
        <v>0.007014482458221077</v>
      </c>
      <c r="E570" s="110">
        <v>1.6163004304425728</v>
      </c>
      <c r="F570" s="83" t="s">
        <v>1385</v>
      </c>
      <c r="G570" s="83" t="b">
        <v>0</v>
      </c>
      <c r="H570" s="83" t="b">
        <v>0</v>
      </c>
      <c r="I570" s="83" t="b">
        <v>0</v>
      </c>
      <c r="J570" s="83" t="b">
        <v>0</v>
      </c>
      <c r="K570" s="83" t="b">
        <v>0</v>
      </c>
      <c r="L570" s="83" t="b">
        <v>0</v>
      </c>
    </row>
    <row r="571" spans="1:12" ht="15">
      <c r="A571" s="84" t="s">
        <v>1751</v>
      </c>
      <c r="B571" s="83" t="s">
        <v>1750</v>
      </c>
      <c r="C571" s="83">
        <v>2</v>
      </c>
      <c r="D571" s="110">
        <v>0.009286406953798294</v>
      </c>
      <c r="E571" s="110">
        <v>1.7412391670508727</v>
      </c>
      <c r="F571" s="83" t="s">
        <v>1385</v>
      </c>
      <c r="G571" s="83" t="b">
        <v>0</v>
      </c>
      <c r="H571" s="83" t="b">
        <v>0</v>
      </c>
      <c r="I571" s="83" t="b">
        <v>0</v>
      </c>
      <c r="J571" s="83" t="b">
        <v>0</v>
      </c>
      <c r="K571" s="83" t="b">
        <v>0</v>
      </c>
      <c r="L571" s="83" t="b">
        <v>0</v>
      </c>
    </row>
    <row r="572" spans="1:12" ht="15">
      <c r="A572" s="84" t="s">
        <v>1996</v>
      </c>
      <c r="B572" s="83" t="s">
        <v>1746</v>
      </c>
      <c r="C572" s="83">
        <v>2</v>
      </c>
      <c r="D572" s="110">
        <v>0.007014482458221077</v>
      </c>
      <c r="E572" s="110">
        <v>1.9173304261065538</v>
      </c>
      <c r="F572" s="83" t="s">
        <v>1385</v>
      </c>
      <c r="G572" s="83" t="b">
        <v>0</v>
      </c>
      <c r="H572" s="83" t="b">
        <v>0</v>
      </c>
      <c r="I572" s="83" t="b">
        <v>0</v>
      </c>
      <c r="J572" s="83" t="b">
        <v>0</v>
      </c>
      <c r="K572" s="83" t="b">
        <v>0</v>
      </c>
      <c r="L572" s="83" t="b">
        <v>0</v>
      </c>
    </row>
    <row r="573" spans="1:12" ht="15">
      <c r="A573" s="84" t="s">
        <v>1748</v>
      </c>
      <c r="B573" s="83" t="s">
        <v>1999</v>
      </c>
      <c r="C573" s="83">
        <v>2</v>
      </c>
      <c r="D573" s="110">
        <v>0.009286406953798294</v>
      </c>
      <c r="E573" s="110">
        <v>2.093421685162235</v>
      </c>
      <c r="F573" s="83" t="s">
        <v>1385</v>
      </c>
      <c r="G573" s="83" t="b">
        <v>0</v>
      </c>
      <c r="H573" s="83" t="b">
        <v>0</v>
      </c>
      <c r="I573" s="83" t="b">
        <v>0</v>
      </c>
      <c r="J573" s="83" t="b">
        <v>0</v>
      </c>
      <c r="K573" s="83" t="b">
        <v>0</v>
      </c>
      <c r="L573" s="83" t="b">
        <v>0</v>
      </c>
    </row>
    <row r="574" spans="1:12" ht="15">
      <c r="A574" s="84" t="s">
        <v>1526</v>
      </c>
      <c r="B574" s="83" t="s">
        <v>2000</v>
      </c>
      <c r="C574" s="83">
        <v>2</v>
      </c>
      <c r="D574" s="110">
        <v>0.007014482458221077</v>
      </c>
      <c r="E574" s="110">
        <v>1.5493536408119595</v>
      </c>
      <c r="F574" s="83" t="s">
        <v>1385</v>
      </c>
      <c r="G574" s="83" t="b">
        <v>0</v>
      </c>
      <c r="H574" s="83" t="b">
        <v>0</v>
      </c>
      <c r="I574" s="83" t="b">
        <v>0</v>
      </c>
      <c r="J574" s="83" t="b">
        <v>0</v>
      </c>
      <c r="K574" s="83" t="b">
        <v>0</v>
      </c>
      <c r="L574" s="83" t="b">
        <v>0</v>
      </c>
    </row>
    <row r="575" spans="1:12" ht="15">
      <c r="A575" s="84" t="s">
        <v>1437</v>
      </c>
      <c r="B575" s="83" t="s">
        <v>1580</v>
      </c>
      <c r="C575" s="83">
        <v>4</v>
      </c>
      <c r="D575" s="110">
        <v>0.029614507579769755</v>
      </c>
      <c r="E575" s="110">
        <v>1.3521825181113625</v>
      </c>
      <c r="F575" s="83" t="s">
        <v>1386</v>
      </c>
      <c r="G575" s="83" t="b">
        <v>0</v>
      </c>
      <c r="H575" s="83" t="b">
        <v>0</v>
      </c>
      <c r="I575" s="83" t="b">
        <v>0</v>
      </c>
      <c r="J575" s="83" t="b">
        <v>0</v>
      </c>
      <c r="K575" s="83" t="b">
        <v>0</v>
      </c>
      <c r="L575" s="83" t="b">
        <v>0</v>
      </c>
    </row>
    <row r="576" spans="1:12" ht="15">
      <c r="A576" s="84" t="s">
        <v>1580</v>
      </c>
      <c r="B576" s="83" t="s">
        <v>1514</v>
      </c>
      <c r="C576" s="83">
        <v>2</v>
      </c>
      <c r="D576" s="110">
        <v>0.014807253789884877</v>
      </c>
      <c r="E576" s="110">
        <v>1.6532125137753437</v>
      </c>
      <c r="F576" s="83" t="s">
        <v>1386</v>
      </c>
      <c r="G576" s="83" t="b">
        <v>0</v>
      </c>
      <c r="H576" s="83" t="b">
        <v>0</v>
      </c>
      <c r="I576" s="83" t="b">
        <v>0</v>
      </c>
      <c r="J576" s="83" t="b">
        <v>0</v>
      </c>
      <c r="K576" s="83" t="b">
        <v>0</v>
      </c>
      <c r="L576" s="83" t="b">
        <v>0</v>
      </c>
    </row>
    <row r="577" spans="1:12" ht="15">
      <c r="A577" s="84" t="s">
        <v>1514</v>
      </c>
      <c r="B577" s="83" t="s">
        <v>1478</v>
      </c>
      <c r="C577" s="83">
        <v>2</v>
      </c>
      <c r="D577" s="110">
        <v>0.014807253789884877</v>
      </c>
      <c r="E577" s="110">
        <v>1.3521825181113625</v>
      </c>
      <c r="F577" s="83" t="s">
        <v>1386</v>
      </c>
      <c r="G577" s="83" t="b">
        <v>0</v>
      </c>
      <c r="H577" s="83" t="b">
        <v>0</v>
      </c>
      <c r="I577" s="83" t="b">
        <v>0</v>
      </c>
      <c r="J577" s="83" t="b">
        <v>0</v>
      </c>
      <c r="K577" s="83" t="b">
        <v>0</v>
      </c>
      <c r="L577" s="83" t="b">
        <v>0</v>
      </c>
    </row>
    <row r="578" spans="1:12" ht="15">
      <c r="A578" s="84" t="s">
        <v>1478</v>
      </c>
      <c r="B578" s="83" t="s">
        <v>1473</v>
      </c>
      <c r="C578" s="83">
        <v>2</v>
      </c>
      <c r="D578" s="110">
        <v>0.014807253789884877</v>
      </c>
      <c r="E578" s="110">
        <v>1.3521825181113625</v>
      </c>
      <c r="F578" s="83" t="s">
        <v>1386</v>
      </c>
      <c r="G578" s="83" t="b">
        <v>0</v>
      </c>
      <c r="H578" s="83" t="b">
        <v>0</v>
      </c>
      <c r="I578" s="83" t="b">
        <v>0</v>
      </c>
      <c r="J578" s="83" t="b">
        <v>0</v>
      </c>
      <c r="K578" s="83" t="b">
        <v>0</v>
      </c>
      <c r="L578" s="83" t="b">
        <v>0</v>
      </c>
    </row>
    <row r="579" spans="1:12" ht="15">
      <c r="A579" s="84" t="s">
        <v>1473</v>
      </c>
      <c r="B579" s="83" t="s">
        <v>1754</v>
      </c>
      <c r="C579" s="83">
        <v>2</v>
      </c>
      <c r="D579" s="110">
        <v>0.014807253789884877</v>
      </c>
      <c r="E579" s="110">
        <v>1.6532125137753437</v>
      </c>
      <c r="F579" s="83" t="s">
        <v>1386</v>
      </c>
      <c r="G579" s="83" t="b">
        <v>0</v>
      </c>
      <c r="H579" s="83" t="b">
        <v>0</v>
      </c>
      <c r="I579" s="83" t="b">
        <v>0</v>
      </c>
      <c r="J579" s="83" t="b">
        <v>1</v>
      </c>
      <c r="K579" s="83" t="b">
        <v>0</v>
      </c>
      <c r="L579" s="83" t="b">
        <v>0</v>
      </c>
    </row>
    <row r="580" spans="1:12" ht="15">
      <c r="A580" s="84" t="s">
        <v>1754</v>
      </c>
      <c r="B580" s="83" t="s">
        <v>1541</v>
      </c>
      <c r="C580" s="83">
        <v>2</v>
      </c>
      <c r="D580" s="110">
        <v>0.014807253789884877</v>
      </c>
      <c r="E580" s="110">
        <v>1.6532125137753437</v>
      </c>
      <c r="F580" s="83" t="s">
        <v>1386</v>
      </c>
      <c r="G580" s="83" t="b">
        <v>1</v>
      </c>
      <c r="H580" s="83" t="b">
        <v>0</v>
      </c>
      <c r="I580" s="83" t="b">
        <v>0</v>
      </c>
      <c r="J580" s="83" t="b">
        <v>0</v>
      </c>
      <c r="K580" s="83" t="b">
        <v>0</v>
      </c>
      <c r="L580" s="83" t="b">
        <v>0</v>
      </c>
    </row>
    <row r="581" spans="1:12" ht="15">
      <c r="A581" s="84" t="s">
        <v>1541</v>
      </c>
      <c r="B581" s="83" t="s">
        <v>1438</v>
      </c>
      <c r="C581" s="83">
        <v>2</v>
      </c>
      <c r="D581" s="110">
        <v>0.014807253789884877</v>
      </c>
      <c r="E581" s="110">
        <v>1.6532125137753437</v>
      </c>
      <c r="F581" s="83" t="s">
        <v>1386</v>
      </c>
      <c r="G581" s="83" t="b">
        <v>0</v>
      </c>
      <c r="H581" s="83" t="b">
        <v>0</v>
      </c>
      <c r="I581" s="83" t="b">
        <v>0</v>
      </c>
      <c r="J581" s="83" t="b">
        <v>1</v>
      </c>
      <c r="K581" s="83" t="b">
        <v>0</v>
      </c>
      <c r="L581" s="83" t="b">
        <v>0</v>
      </c>
    </row>
    <row r="582" spans="1:12" ht="15">
      <c r="A582" s="84" t="s">
        <v>1438</v>
      </c>
      <c r="B582" s="83" t="s">
        <v>2021</v>
      </c>
      <c r="C582" s="83">
        <v>2</v>
      </c>
      <c r="D582" s="110">
        <v>0.014807253789884877</v>
      </c>
      <c r="E582" s="110">
        <v>1.6532125137753437</v>
      </c>
      <c r="F582" s="83" t="s">
        <v>1386</v>
      </c>
      <c r="G582" s="83" t="b">
        <v>1</v>
      </c>
      <c r="H582" s="83" t="b">
        <v>0</v>
      </c>
      <c r="I582" s="83" t="b">
        <v>0</v>
      </c>
      <c r="J582" s="83" t="b">
        <v>0</v>
      </c>
      <c r="K582" s="83" t="b">
        <v>0</v>
      </c>
      <c r="L582" s="83" t="b">
        <v>0</v>
      </c>
    </row>
    <row r="583" spans="1:12" ht="15">
      <c r="A583" s="84" t="s">
        <v>2021</v>
      </c>
      <c r="B583" s="83" t="s">
        <v>2022</v>
      </c>
      <c r="C583" s="83">
        <v>2</v>
      </c>
      <c r="D583" s="110">
        <v>0.014807253789884877</v>
      </c>
      <c r="E583" s="110">
        <v>1.6532125137753437</v>
      </c>
      <c r="F583" s="83" t="s">
        <v>1386</v>
      </c>
      <c r="G583" s="83" t="b">
        <v>0</v>
      </c>
      <c r="H583" s="83" t="b">
        <v>0</v>
      </c>
      <c r="I583" s="83" t="b">
        <v>0</v>
      </c>
      <c r="J583" s="83" t="b">
        <v>0</v>
      </c>
      <c r="K583" s="83" t="b">
        <v>0</v>
      </c>
      <c r="L583" s="83" t="b">
        <v>0</v>
      </c>
    </row>
    <row r="584" spans="1:12" ht="15">
      <c r="A584" s="84" t="s">
        <v>2022</v>
      </c>
      <c r="B584" s="83" t="s">
        <v>2023</v>
      </c>
      <c r="C584" s="83">
        <v>2</v>
      </c>
      <c r="D584" s="110">
        <v>0.014807253789884877</v>
      </c>
      <c r="E584" s="110">
        <v>1.6532125137753437</v>
      </c>
      <c r="F584" s="83" t="s">
        <v>1386</v>
      </c>
      <c r="G584" s="83" t="b">
        <v>0</v>
      </c>
      <c r="H584" s="83" t="b">
        <v>0</v>
      </c>
      <c r="I584" s="83" t="b">
        <v>0</v>
      </c>
      <c r="J584" s="83" t="b">
        <v>0</v>
      </c>
      <c r="K584" s="83" t="b">
        <v>0</v>
      </c>
      <c r="L584" s="83" t="b">
        <v>0</v>
      </c>
    </row>
    <row r="585" spans="1:12" ht="15">
      <c r="A585" s="84" t="s">
        <v>2023</v>
      </c>
      <c r="B585" s="83" t="s">
        <v>1730</v>
      </c>
      <c r="C585" s="83">
        <v>2</v>
      </c>
      <c r="D585" s="110">
        <v>0.014807253789884877</v>
      </c>
      <c r="E585" s="110">
        <v>1.6532125137753437</v>
      </c>
      <c r="F585" s="83" t="s">
        <v>1386</v>
      </c>
      <c r="G585" s="83" t="b">
        <v>0</v>
      </c>
      <c r="H585" s="83" t="b">
        <v>0</v>
      </c>
      <c r="I585" s="83" t="b">
        <v>0</v>
      </c>
      <c r="J585" s="83" t="b">
        <v>0</v>
      </c>
      <c r="K585" s="83" t="b">
        <v>0</v>
      </c>
      <c r="L585" s="83" t="b">
        <v>0</v>
      </c>
    </row>
    <row r="586" spans="1:12" ht="15">
      <c r="A586" s="84" t="s">
        <v>1730</v>
      </c>
      <c r="B586" s="83" t="s">
        <v>1644</v>
      </c>
      <c r="C586" s="83">
        <v>2</v>
      </c>
      <c r="D586" s="110">
        <v>0.014807253789884877</v>
      </c>
      <c r="E586" s="110">
        <v>1.3521825181113625</v>
      </c>
      <c r="F586" s="83" t="s">
        <v>1386</v>
      </c>
      <c r="G586" s="83" t="b">
        <v>0</v>
      </c>
      <c r="H586" s="83" t="b">
        <v>0</v>
      </c>
      <c r="I586" s="83" t="b">
        <v>0</v>
      </c>
      <c r="J586" s="83" t="b">
        <v>0</v>
      </c>
      <c r="K586" s="83" t="b">
        <v>0</v>
      </c>
      <c r="L586" s="83" t="b">
        <v>0</v>
      </c>
    </row>
    <row r="587" spans="1:12" ht="15">
      <c r="A587" s="84" t="s">
        <v>1644</v>
      </c>
      <c r="B587" s="83" t="s">
        <v>1515</v>
      </c>
      <c r="C587" s="83">
        <v>2</v>
      </c>
      <c r="D587" s="110">
        <v>0.014807253789884877</v>
      </c>
      <c r="E587" s="110">
        <v>1.3521825181113625</v>
      </c>
      <c r="F587" s="83" t="s">
        <v>1386</v>
      </c>
      <c r="G587" s="83" t="b">
        <v>0</v>
      </c>
      <c r="H587" s="83" t="b">
        <v>0</v>
      </c>
      <c r="I587" s="83" t="b">
        <v>0</v>
      </c>
      <c r="J587" s="83" t="b">
        <v>0</v>
      </c>
      <c r="K587" s="83" t="b">
        <v>0</v>
      </c>
      <c r="L587" s="83" t="b">
        <v>0</v>
      </c>
    </row>
    <row r="588" spans="1:12" ht="15">
      <c r="A588" s="84" t="s">
        <v>1515</v>
      </c>
      <c r="B588" s="83" t="s">
        <v>1645</v>
      </c>
      <c r="C588" s="83">
        <v>2</v>
      </c>
      <c r="D588" s="110">
        <v>0.014807253789884877</v>
      </c>
      <c r="E588" s="110">
        <v>1.3521825181113625</v>
      </c>
      <c r="F588" s="83" t="s">
        <v>1386</v>
      </c>
      <c r="G588" s="83" t="b">
        <v>0</v>
      </c>
      <c r="H588" s="83" t="b">
        <v>0</v>
      </c>
      <c r="I588" s="83" t="b">
        <v>0</v>
      </c>
      <c r="J588" s="83" t="b">
        <v>0</v>
      </c>
      <c r="K588" s="83" t="b">
        <v>0</v>
      </c>
      <c r="L588" s="83" t="b">
        <v>0</v>
      </c>
    </row>
    <row r="589" spans="1:12" ht="15">
      <c r="A589" s="84" t="s">
        <v>1645</v>
      </c>
      <c r="B589" s="83" t="s">
        <v>1718</v>
      </c>
      <c r="C589" s="83">
        <v>2</v>
      </c>
      <c r="D589" s="110">
        <v>0.014807253789884877</v>
      </c>
      <c r="E589" s="110">
        <v>1.3521825181113625</v>
      </c>
      <c r="F589" s="83" t="s">
        <v>1386</v>
      </c>
      <c r="G589" s="83" t="b">
        <v>0</v>
      </c>
      <c r="H589" s="83" t="b">
        <v>0</v>
      </c>
      <c r="I589" s="83" t="b">
        <v>0</v>
      </c>
      <c r="J589" s="83" t="b">
        <v>0</v>
      </c>
      <c r="K589" s="83" t="b">
        <v>0</v>
      </c>
      <c r="L589" s="83" t="b">
        <v>0</v>
      </c>
    </row>
    <row r="590" spans="1:12" ht="15">
      <c r="A590" s="84" t="s">
        <v>1718</v>
      </c>
      <c r="B590" s="83" t="s">
        <v>1644</v>
      </c>
      <c r="C590" s="83">
        <v>2</v>
      </c>
      <c r="D590" s="110">
        <v>0.014807253789884877</v>
      </c>
      <c r="E590" s="110">
        <v>1.3521825181113625</v>
      </c>
      <c r="F590" s="83" t="s">
        <v>1386</v>
      </c>
      <c r="G590" s="83" t="b">
        <v>0</v>
      </c>
      <c r="H590" s="83" t="b">
        <v>0</v>
      </c>
      <c r="I590" s="83" t="b">
        <v>0</v>
      </c>
      <c r="J590" s="83" t="b">
        <v>0</v>
      </c>
      <c r="K590" s="83" t="b">
        <v>0</v>
      </c>
      <c r="L590" s="83" t="b">
        <v>0</v>
      </c>
    </row>
    <row r="591" spans="1:12" ht="15">
      <c r="A591" s="84" t="s">
        <v>1644</v>
      </c>
      <c r="B591" s="83" t="s">
        <v>1645</v>
      </c>
      <c r="C591" s="83">
        <v>2</v>
      </c>
      <c r="D591" s="110">
        <v>0.014807253789884877</v>
      </c>
      <c r="E591" s="110">
        <v>1.0511525224473812</v>
      </c>
      <c r="F591" s="83" t="s">
        <v>1386</v>
      </c>
      <c r="G591" s="83" t="b">
        <v>0</v>
      </c>
      <c r="H591" s="83" t="b">
        <v>0</v>
      </c>
      <c r="I591" s="83" t="b">
        <v>0</v>
      </c>
      <c r="J591" s="83" t="b">
        <v>0</v>
      </c>
      <c r="K591" s="83" t="b">
        <v>0</v>
      </c>
      <c r="L591" s="83" t="b">
        <v>0</v>
      </c>
    </row>
    <row r="592" spans="1:12" ht="15">
      <c r="A592" s="84" t="s">
        <v>1645</v>
      </c>
      <c r="B592" s="83" t="s">
        <v>1715</v>
      </c>
      <c r="C592" s="83">
        <v>2</v>
      </c>
      <c r="D592" s="110">
        <v>0.014807253789884877</v>
      </c>
      <c r="E592" s="110">
        <v>1.3521825181113625</v>
      </c>
      <c r="F592" s="83" t="s">
        <v>1386</v>
      </c>
      <c r="G592" s="83" t="b">
        <v>0</v>
      </c>
      <c r="H592" s="83" t="b">
        <v>0</v>
      </c>
      <c r="I592" s="83" t="b">
        <v>0</v>
      </c>
      <c r="J592" s="83" t="b">
        <v>0</v>
      </c>
      <c r="K592" s="83" t="b">
        <v>0</v>
      </c>
      <c r="L592" s="83" t="b">
        <v>0</v>
      </c>
    </row>
    <row r="593" spans="1:12" ht="15">
      <c r="A593" s="84" t="s">
        <v>1715</v>
      </c>
      <c r="B593" s="83" t="s">
        <v>1437</v>
      </c>
      <c r="C593" s="83">
        <v>2</v>
      </c>
      <c r="D593" s="110">
        <v>0.014807253789884877</v>
      </c>
      <c r="E593" s="110">
        <v>1.4771212547196624</v>
      </c>
      <c r="F593" s="83" t="s">
        <v>1386</v>
      </c>
      <c r="G593" s="83" t="b">
        <v>0</v>
      </c>
      <c r="H593" s="83" t="b">
        <v>0</v>
      </c>
      <c r="I593" s="83" t="b">
        <v>0</v>
      </c>
      <c r="J593" s="83" t="b">
        <v>0</v>
      </c>
      <c r="K593" s="83" t="b">
        <v>0</v>
      </c>
      <c r="L593" s="83" t="b">
        <v>0</v>
      </c>
    </row>
    <row r="594" spans="1:12" ht="15">
      <c r="A594" s="84" t="s">
        <v>1546</v>
      </c>
      <c r="B594" s="83" t="s">
        <v>1428</v>
      </c>
      <c r="C594" s="83">
        <v>3</v>
      </c>
      <c r="D594" s="110">
        <v>0.04095532896756019</v>
      </c>
      <c r="E594" s="110">
        <v>0.8836614351536176</v>
      </c>
      <c r="F594" s="83" t="s">
        <v>1387</v>
      </c>
      <c r="G594" s="83" t="b">
        <v>0</v>
      </c>
      <c r="H594" s="83" t="b">
        <v>0</v>
      </c>
      <c r="I594" s="83" t="b">
        <v>0</v>
      </c>
      <c r="J594" s="83" t="b">
        <v>0</v>
      </c>
      <c r="K594" s="83" t="b">
        <v>0</v>
      </c>
      <c r="L594" s="83" t="b">
        <v>0</v>
      </c>
    </row>
    <row r="595" spans="1:12" ht="15">
      <c r="A595" s="84" t="s">
        <v>1428</v>
      </c>
      <c r="B595" s="83" t="s">
        <v>1546</v>
      </c>
      <c r="C595" s="83">
        <v>2</v>
      </c>
      <c r="D595" s="110">
        <v>0.027303552645040127</v>
      </c>
      <c r="E595" s="110">
        <v>0.6283889300503115</v>
      </c>
      <c r="F595" s="83" t="s">
        <v>1387</v>
      </c>
      <c r="G595" s="83" t="b">
        <v>0</v>
      </c>
      <c r="H595" s="83" t="b">
        <v>0</v>
      </c>
      <c r="I595" s="83" t="b">
        <v>0</v>
      </c>
      <c r="J595" s="83" t="b">
        <v>0</v>
      </c>
      <c r="K595" s="83" t="b">
        <v>0</v>
      </c>
      <c r="L595" s="83" t="b">
        <v>0</v>
      </c>
    </row>
    <row r="596" spans="1:12" ht="15">
      <c r="A596" s="84" t="s">
        <v>1734</v>
      </c>
      <c r="B596" s="83" t="s">
        <v>1546</v>
      </c>
      <c r="C596" s="83">
        <v>2</v>
      </c>
      <c r="D596" s="110">
        <v>0.027303552645040127</v>
      </c>
      <c r="E596" s="110">
        <v>0.9294189257142927</v>
      </c>
      <c r="F596" s="83" t="s">
        <v>1387</v>
      </c>
      <c r="G596" s="83" t="b">
        <v>0</v>
      </c>
      <c r="H596" s="83" t="b">
        <v>0</v>
      </c>
      <c r="I596" s="83" t="b">
        <v>0</v>
      </c>
      <c r="J596" s="83" t="b">
        <v>0</v>
      </c>
      <c r="K596" s="83" t="b">
        <v>0</v>
      </c>
      <c r="L596" s="83" t="b">
        <v>0</v>
      </c>
    </row>
    <row r="597" spans="1:12" ht="15">
      <c r="A597" s="84" t="s">
        <v>1428</v>
      </c>
      <c r="B597" s="83" t="s">
        <v>1734</v>
      </c>
      <c r="C597" s="83">
        <v>2</v>
      </c>
      <c r="D597" s="110">
        <v>0.027303552645040127</v>
      </c>
      <c r="E597" s="110">
        <v>0.7533276666586114</v>
      </c>
      <c r="F597" s="83" t="s">
        <v>1387</v>
      </c>
      <c r="G597" s="83" t="b">
        <v>0</v>
      </c>
      <c r="H597" s="83" t="b">
        <v>0</v>
      </c>
      <c r="I597" s="83" t="b">
        <v>0</v>
      </c>
      <c r="J597" s="83" t="b">
        <v>0</v>
      </c>
      <c r="K597" s="83" t="b">
        <v>0</v>
      </c>
      <c r="L597" s="83" t="b">
        <v>0</v>
      </c>
    </row>
    <row r="598" spans="1:12" ht="15">
      <c r="A598" s="84" t="s">
        <v>1436</v>
      </c>
      <c r="B598" s="83" t="s">
        <v>1611</v>
      </c>
      <c r="C598" s="83">
        <v>2</v>
      </c>
      <c r="D598" s="110">
        <v>0.036193081413192725</v>
      </c>
      <c r="E598" s="110">
        <v>0.9149892102916513</v>
      </c>
      <c r="F598" s="83" t="s">
        <v>1388</v>
      </c>
      <c r="G598" s="83" t="b">
        <v>0</v>
      </c>
      <c r="H598" s="83" t="b">
        <v>0</v>
      </c>
      <c r="I598" s="83" t="b">
        <v>0</v>
      </c>
      <c r="J598" s="83" t="b">
        <v>0</v>
      </c>
      <c r="K598" s="83" t="b">
        <v>0</v>
      </c>
      <c r="L598" s="83" t="b">
        <v>0</v>
      </c>
    </row>
    <row r="599" spans="1:12" ht="15">
      <c r="A599" s="84" t="s">
        <v>1506</v>
      </c>
      <c r="B599" s="83" t="s">
        <v>1481</v>
      </c>
      <c r="C599" s="83">
        <v>4</v>
      </c>
      <c r="D599" s="110">
        <v>0.01350666675045447</v>
      </c>
      <c r="E599" s="110">
        <v>1.4985862088175177</v>
      </c>
      <c r="F599" s="83" t="s">
        <v>1394</v>
      </c>
      <c r="G599" s="83" t="b">
        <v>0</v>
      </c>
      <c r="H599" s="83" t="b">
        <v>0</v>
      </c>
      <c r="I599" s="83" t="b">
        <v>0</v>
      </c>
      <c r="J599" s="83" t="b">
        <v>0</v>
      </c>
      <c r="K599" s="83" t="b">
        <v>0</v>
      </c>
      <c r="L599" s="83" t="b">
        <v>0</v>
      </c>
    </row>
    <row r="600" spans="1:12" ht="15">
      <c r="A600" s="84" t="s">
        <v>1582</v>
      </c>
      <c r="B600" s="83" t="s">
        <v>1758</v>
      </c>
      <c r="C600" s="83">
        <v>3</v>
      </c>
      <c r="D600" s="110">
        <v>0.014492753623188406</v>
      </c>
      <c r="E600" s="110">
        <v>1.8173449714419305</v>
      </c>
      <c r="F600" s="83" t="s">
        <v>1394</v>
      </c>
      <c r="G600" s="83" t="b">
        <v>0</v>
      </c>
      <c r="H600" s="83" t="b">
        <v>0</v>
      </c>
      <c r="I600" s="83" t="b">
        <v>0</v>
      </c>
      <c r="J600" s="83" t="b">
        <v>0</v>
      </c>
      <c r="K600" s="83" t="b">
        <v>0</v>
      </c>
      <c r="L600" s="83" t="b">
        <v>0</v>
      </c>
    </row>
    <row r="601" spans="1:12" ht="15">
      <c r="A601" s="84" t="s">
        <v>1429</v>
      </c>
      <c r="B601" s="83" t="s">
        <v>1477</v>
      </c>
      <c r="C601" s="83">
        <v>2</v>
      </c>
      <c r="D601" s="110">
        <v>0.00966183574879227</v>
      </c>
      <c r="E601" s="110">
        <v>1.5954962218255742</v>
      </c>
      <c r="F601" s="83" t="s">
        <v>1394</v>
      </c>
      <c r="G601" s="83" t="b">
        <v>0</v>
      </c>
      <c r="H601" s="83" t="b">
        <v>0</v>
      </c>
      <c r="I601" s="83" t="b">
        <v>0</v>
      </c>
      <c r="J601" s="83" t="b">
        <v>0</v>
      </c>
      <c r="K601" s="83" t="b">
        <v>0</v>
      </c>
      <c r="L601" s="83" t="b">
        <v>0</v>
      </c>
    </row>
    <row r="602" spans="1:12" ht="15">
      <c r="A602" s="84" t="s">
        <v>1432</v>
      </c>
      <c r="B602" s="83" t="s">
        <v>1431</v>
      </c>
      <c r="C602" s="83">
        <v>2</v>
      </c>
      <c r="D602" s="110">
        <v>0.00966183574879227</v>
      </c>
      <c r="E602" s="110">
        <v>1.2152849801139682</v>
      </c>
      <c r="F602" s="83" t="s">
        <v>1394</v>
      </c>
      <c r="G602" s="83" t="b">
        <v>0</v>
      </c>
      <c r="H602" s="83" t="b">
        <v>0</v>
      </c>
      <c r="I602" s="83" t="b">
        <v>0</v>
      </c>
      <c r="J602" s="83" t="b">
        <v>0</v>
      </c>
      <c r="K602" s="83" t="b">
        <v>0</v>
      </c>
      <c r="L602" s="83" t="b">
        <v>0</v>
      </c>
    </row>
    <row r="603" spans="1:12" ht="15">
      <c r="A603" s="84" t="s">
        <v>2036</v>
      </c>
      <c r="B603" s="83" t="s">
        <v>1738</v>
      </c>
      <c r="C603" s="83">
        <v>2</v>
      </c>
      <c r="D603" s="110">
        <v>0.00966183574879227</v>
      </c>
      <c r="E603" s="110">
        <v>1.9934362304976116</v>
      </c>
      <c r="F603" s="83" t="s">
        <v>1394</v>
      </c>
      <c r="G603" s="83" t="b">
        <v>0</v>
      </c>
      <c r="H603" s="83" t="b">
        <v>0</v>
      </c>
      <c r="I603" s="83" t="b">
        <v>0</v>
      </c>
      <c r="J603" s="83" t="b">
        <v>0</v>
      </c>
      <c r="K603" s="83" t="b">
        <v>0</v>
      </c>
      <c r="L603" s="83" t="b">
        <v>0</v>
      </c>
    </row>
    <row r="604" spans="1:12" ht="15">
      <c r="A604" s="84" t="s">
        <v>1738</v>
      </c>
      <c r="B604" s="83" t="s">
        <v>1701</v>
      </c>
      <c r="C604" s="83">
        <v>2</v>
      </c>
      <c r="D604" s="110">
        <v>0.00966183574879227</v>
      </c>
      <c r="E604" s="110">
        <v>1.9934362304976116</v>
      </c>
      <c r="F604" s="83" t="s">
        <v>1394</v>
      </c>
      <c r="G604" s="83" t="b">
        <v>0</v>
      </c>
      <c r="H604" s="83" t="b">
        <v>0</v>
      </c>
      <c r="I604" s="83" t="b">
        <v>0</v>
      </c>
      <c r="J604" s="83" t="b">
        <v>0</v>
      </c>
      <c r="K604" s="83" t="b">
        <v>0</v>
      </c>
      <c r="L604" s="83" t="b">
        <v>0</v>
      </c>
    </row>
    <row r="605" spans="1:12" ht="15">
      <c r="A605" s="84" t="s">
        <v>1701</v>
      </c>
      <c r="B605" s="83" t="s">
        <v>1582</v>
      </c>
      <c r="C605" s="83">
        <v>2</v>
      </c>
      <c r="D605" s="110">
        <v>0.00966183574879227</v>
      </c>
      <c r="E605" s="110">
        <v>1.8173449714419305</v>
      </c>
      <c r="F605" s="83" t="s">
        <v>1394</v>
      </c>
      <c r="G605" s="83" t="b">
        <v>0</v>
      </c>
      <c r="H605" s="83" t="b">
        <v>0</v>
      </c>
      <c r="I605" s="83" t="b">
        <v>0</v>
      </c>
      <c r="J605" s="83" t="b">
        <v>0</v>
      </c>
      <c r="K605" s="83" t="b">
        <v>0</v>
      </c>
      <c r="L605" s="83" t="b">
        <v>0</v>
      </c>
    </row>
    <row r="606" spans="1:12" ht="15">
      <c r="A606" s="84" t="s">
        <v>2038</v>
      </c>
      <c r="B606" s="83" t="s">
        <v>1448</v>
      </c>
      <c r="C606" s="83">
        <v>2</v>
      </c>
      <c r="D606" s="110">
        <v>0.00966183574879227</v>
      </c>
      <c r="E606" s="110">
        <v>1.8173449714419305</v>
      </c>
      <c r="F606" s="83" t="s">
        <v>1394</v>
      </c>
      <c r="G606" s="83" t="b">
        <v>0</v>
      </c>
      <c r="H606" s="83" t="b">
        <v>0</v>
      </c>
      <c r="I606" s="83" t="b">
        <v>0</v>
      </c>
      <c r="J606" s="83" t="b">
        <v>0</v>
      </c>
      <c r="K606" s="83" t="b">
        <v>0</v>
      </c>
      <c r="L606" s="83" t="b">
        <v>0</v>
      </c>
    </row>
    <row r="607" spans="1:12" ht="15">
      <c r="A607" s="84" t="s">
        <v>1481</v>
      </c>
      <c r="B607" s="83" t="s">
        <v>1450</v>
      </c>
      <c r="C607" s="83">
        <v>2</v>
      </c>
      <c r="D607" s="110">
        <v>0.00966183574879227</v>
      </c>
      <c r="E607" s="110">
        <v>1.294466226161593</v>
      </c>
      <c r="F607" s="83" t="s">
        <v>1394</v>
      </c>
      <c r="G607" s="83" t="b">
        <v>0</v>
      </c>
      <c r="H607" s="83" t="b">
        <v>0</v>
      </c>
      <c r="I607" s="83" t="b">
        <v>0</v>
      </c>
      <c r="J607" s="83" t="b">
        <v>0</v>
      </c>
      <c r="K607" s="83" t="b">
        <v>0</v>
      </c>
      <c r="L607" s="83" t="b">
        <v>0</v>
      </c>
    </row>
    <row r="608" spans="1:12" ht="15">
      <c r="A608" s="84" t="s">
        <v>1450</v>
      </c>
      <c r="B608" s="83" t="s">
        <v>2044</v>
      </c>
      <c r="C608" s="83">
        <v>2</v>
      </c>
      <c r="D608" s="110">
        <v>0.00966183574879227</v>
      </c>
      <c r="E608" s="110">
        <v>1.6924062348336306</v>
      </c>
      <c r="F608" s="83" t="s">
        <v>1394</v>
      </c>
      <c r="G608" s="83" t="b">
        <v>0</v>
      </c>
      <c r="H608" s="83" t="b">
        <v>0</v>
      </c>
      <c r="I608" s="83" t="b">
        <v>0</v>
      </c>
      <c r="J608" s="83" t="b">
        <v>0</v>
      </c>
      <c r="K608" s="83" t="b">
        <v>0</v>
      </c>
      <c r="L608" s="83" t="b">
        <v>0</v>
      </c>
    </row>
    <row r="609" spans="1:12" ht="15">
      <c r="A609" s="84" t="s">
        <v>2044</v>
      </c>
      <c r="B609" s="83" t="s">
        <v>2045</v>
      </c>
      <c r="C609" s="83">
        <v>2</v>
      </c>
      <c r="D609" s="110">
        <v>0.00966183574879227</v>
      </c>
      <c r="E609" s="110">
        <v>1.9934362304976116</v>
      </c>
      <c r="F609" s="83" t="s">
        <v>1394</v>
      </c>
      <c r="G609" s="83" t="b">
        <v>0</v>
      </c>
      <c r="H609" s="83" t="b">
        <v>0</v>
      </c>
      <c r="I609" s="83" t="b">
        <v>0</v>
      </c>
      <c r="J609" s="83" t="b">
        <v>0</v>
      </c>
      <c r="K609" s="83" t="b">
        <v>0</v>
      </c>
      <c r="L609" s="83" t="b">
        <v>0</v>
      </c>
    </row>
    <row r="610" spans="1:12" ht="15">
      <c r="A610" s="84" t="s">
        <v>2045</v>
      </c>
      <c r="B610" s="83" t="s">
        <v>1558</v>
      </c>
      <c r="C610" s="83">
        <v>2</v>
      </c>
      <c r="D610" s="110">
        <v>0.00966183574879227</v>
      </c>
      <c r="E610" s="110">
        <v>1.9934362304976116</v>
      </c>
      <c r="F610" s="83" t="s">
        <v>1394</v>
      </c>
      <c r="G610" s="83" t="b">
        <v>0</v>
      </c>
      <c r="H610" s="83" t="b">
        <v>0</v>
      </c>
      <c r="I610" s="83" t="b">
        <v>0</v>
      </c>
      <c r="J610" s="83" t="b">
        <v>0</v>
      </c>
      <c r="K610" s="83" t="b">
        <v>0</v>
      </c>
      <c r="L610" s="83" t="b">
        <v>0</v>
      </c>
    </row>
    <row r="611" spans="1:12" ht="15">
      <c r="A611" s="84" t="s">
        <v>1558</v>
      </c>
      <c r="B611" s="83" t="s">
        <v>1544</v>
      </c>
      <c r="C611" s="83">
        <v>2</v>
      </c>
      <c r="D611" s="110">
        <v>0.00966183574879227</v>
      </c>
      <c r="E611" s="110">
        <v>1.9934362304976116</v>
      </c>
      <c r="F611" s="83" t="s">
        <v>1394</v>
      </c>
      <c r="G611" s="83" t="b">
        <v>0</v>
      </c>
      <c r="H611" s="83" t="b">
        <v>0</v>
      </c>
      <c r="I611" s="83" t="b">
        <v>0</v>
      </c>
      <c r="J611" s="83" t="b">
        <v>0</v>
      </c>
      <c r="K611" s="83" t="b">
        <v>0</v>
      </c>
      <c r="L611" s="83" t="b">
        <v>0</v>
      </c>
    </row>
    <row r="612" spans="1:12" ht="15">
      <c r="A612" s="84" t="s">
        <v>1544</v>
      </c>
      <c r="B612" s="83" t="s">
        <v>1465</v>
      </c>
      <c r="C612" s="83">
        <v>2</v>
      </c>
      <c r="D612" s="110">
        <v>0.00966183574879227</v>
      </c>
      <c r="E612" s="110">
        <v>1.8173449714419305</v>
      </c>
      <c r="F612" s="83" t="s">
        <v>1394</v>
      </c>
      <c r="G612" s="83" t="b">
        <v>0</v>
      </c>
      <c r="H612" s="83" t="b">
        <v>0</v>
      </c>
      <c r="I612" s="83" t="b">
        <v>0</v>
      </c>
      <c r="J612" s="83" t="b">
        <v>0</v>
      </c>
      <c r="K612" s="83" t="b">
        <v>0</v>
      </c>
      <c r="L612" s="83" t="b">
        <v>0</v>
      </c>
    </row>
    <row r="613" spans="1:12" ht="15">
      <c r="A613" s="84" t="s">
        <v>1481</v>
      </c>
      <c r="B613" s="83" t="s">
        <v>1457</v>
      </c>
      <c r="C613" s="83">
        <v>2</v>
      </c>
      <c r="D613" s="110">
        <v>0.00966183574879227</v>
      </c>
      <c r="E613" s="110">
        <v>1.5954962218255742</v>
      </c>
      <c r="F613" s="83" t="s">
        <v>1394</v>
      </c>
      <c r="G613" s="83" t="b">
        <v>0</v>
      </c>
      <c r="H613" s="83" t="b">
        <v>0</v>
      </c>
      <c r="I613" s="83" t="b">
        <v>0</v>
      </c>
      <c r="J613" s="83" t="b">
        <v>0</v>
      </c>
      <c r="K613" s="83" t="b">
        <v>0</v>
      </c>
      <c r="L613" s="83" t="b">
        <v>0</v>
      </c>
    </row>
    <row r="614" spans="1:12" ht="15">
      <c r="A614" s="84" t="s">
        <v>1457</v>
      </c>
      <c r="B614" s="83" t="s">
        <v>1696</v>
      </c>
      <c r="C614" s="83">
        <v>2</v>
      </c>
      <c r="D614" s="110">
        <v>0.00966183574879227</v>
      </c>
      <c r="E614" s="110">
        <v>1.9934362304976116</v>
      </c>
      <c r="F614" s="83" t="s">
        <v>1394</v>
      </c>
      <c r="G614" s="83" t="b">
        <v>0</v>
      </c>
      <c r="H614" s="83" t="b">
        <v>0</v>
      </c>
      <c r="I614" s="83" t="b">
        <v>0</v>
      </c>
      <c r="J614" s="83" t="b">
        <v>0</v>
      </c>
      <c r="K614" s="83" t="b">
        <v>0</v>
      </c>
      <c r="L614" s="83" t="b">
        <v>0</v>
      </c>
    </row>
    <row r="615" spans="1:12" ht="15">
      <c r="A615" s="84" t="s">
        <v>1696</v>
      </c>
      <c r="B615" s="83" t="s">
        <v>2042</v>
      </c>
      <c r="C615" s="83">
        <v>2</v>
      </c>
      <c r="D615" s="110">
        <v>0.00966183574879227</v>
      </c>
      <c r="E615" s="110">
        <v>1.9934362304976116</v>
      </c>
      <c r="F615" s="83" t="s">
        <v>1394</v>
      </c>
      <c r="G615" s="83" t="b">
        <v>0</v>
      </c>
      <c r="H615" s="83" t="b">
        <v>0</v>
      </c>
      <c r="I615" s="83" t="b">
        <v>0</v>
      </c>
      <c r="J615" s="83" t="b">
        <v>0</v>
      </c>
      <c r="K615" s="83" t="b">
        <v>0</v>
      </c>
      <c r="L615" s="83" t="b">
        <v>0</v>
      </c>
    </row>
    <row r="616" spans="1:12" ht="15">
      <c r="A616" s="84" t="s">
        <v>1479</v>
      </c>
      <c r="B616" s="83" t="s">
        <v>1446</v>
      </c>
      <c r="C616" s="83">
        <v>2</v>
      </c>
      <c r="D616" s="110">
        <v>0.00966183574879227</v>
      </c>
      <c r="E616" s="110">
        <v>1.9934362304976116</v>
      </c>
      <c r="F616" s="83" t="s">
        <v>1394</v>
      </c>
      <c r="G616" s="83" t="b">
        <v>0</v>
      </c>
      <c r="H616" s="83" t="b">
        <v>0</v>
      </c>
      <c r="I616" s="83" t="b">
        <v>0</v>
      </c>
      <c r="J616" s="83" t="b">
        <v>0</v>
      </c>
      <c r="K616" s="83" t="b">
        <v>0</v>
      </c>
      <c r="L616" s="83" t="b">
        <v>0</v>
      </c>
    </row>
    <row r="617" spans="1:12" ht="15">
      <c r="A617" s="84" t="s">
        <v>1446</v>
      </c>
      <c r="B617" s="83" t="s">
        <v>1480</v>
      </c>
      <c r="C617" s="83">
        <v>2</v>
      </c>
      <c r="D617" s="110">
        <v>0.00966183574879227</v>
      </c>
      <c r="E617" s="110">
        <v>1.9934362304976116</v>
      </c>
      <c r="F617" s="83" t="s">
        <v>1394</v>
      </c>
      <c r="G617" s="83" t="b">
        <v>0</v>
      </c>
      <c r="H617" s="83" t="b">
        <v>0</v>
      </c>
      <c r="I617" s="83" t="b">
        <v>0</v>
      </c>
      <c r="J617" s="83" t="b">
        <v>0</v>
      </c>
      <c r="K617" s="83" t="b">
        <v>0</v>
      </c>
      <c r="L617" s="83" t="b">
        <v>0</v>
      </c>
    </row>
    <row r="618" spans="1:12" ht="15">
      <c r="A618" s="84" t="s">
        <v>1480</v>
      </c>
      <c r="B618" s="83" t="s">
        <v>1434</v>
      </c>
      <c r="C618" s="83">
        <v>2</v>
      </c>
      <c r="D618" s="110">
        <v>0.00966183574879227</v>
      </c>
      <c r="E618" s="110">
        <v>1.6924062348336306</v>
      </c>
      <c r="F618" s="83" t="s">
        <v>1394</v>
      </c>
      <c r="G618" s="83" t="b">
        <v>0</v>
      </c>
      <c r="H618" s="83" t="b">
        <v>0</v>
      </c>
      <c r="I618" s="83" t="b">
        <v>0</v>
      </c>
      <c r="J618" s="83" t="b">
        <v>0</v>
      </c>
      <c r="K618" s="83" t="b">
        <v>0</v>
      </c>
      <c r="L618" s="83" t="b">
        <v>0</v>
      </c>
    </row>
    <row r="619" spans="1:12" ht="15">
      <c r="A619" s="84" t="s">
        <v>1434</v>
      </c>
      <c r="B619" s="83" t="s">
        <v>1639</v>
      </c>
      <c r="C619" s="83">
        <v>2</v>
      </c>
      <c r="D619" s="110">
        <v>0.00966183574879227</v>
      </c>
      <c r="E619" s="110">
        <v>1.6924062348336306</v>
      </c>
      <c r="F619" s="83" t="s">
        <v>1394</v>
      </c>
      <c r="G619" s="83" t="b">
        <v>0</v>
      </c>
      <c r="H619" s="83" t="b">
        <v>0</v>
      </c>
      <c r="I619" s="83" t="b">
        <v>0</v>
      </c>
      <c r="J619" s="83" t="b">
        <v>0</v>
      </c>
      <c r="K619" s="83" t="b">
        <v>0</v>
      </c>
      <c r="L619" s="83" t="b">
        <v>0</v>
      </c>
    </row>
    <row r="620" spans="1:12" ht="15">
      <c r="A620" s="84" t="s">
        <v>1639</v>
      </c>
      <c r="B620" s="83" t="s">
        <v>2041</v>
      </c>
      <c r="C620" s="83">
        <v>2</v>
      </c>
      <c r="D620" s="110">
        <v>0.00966183574879227</v>
      </c>
      <c r="E620" s="110">
        <v>1.9934362304976116</v>
      </c>
      <c r="F620" s="83" t="s">
        <v>1394</v>
      </c>
      <c r="G620" s="83" t="b">
        <v>0</v>
      </c>
      <c r="H620" s="83" t="b">
        <v>0</v>
      </c>
      <c r="I620" s="83" t="b">
        <v>0</v>
      </c>
      <c r="J620" s="83" t="b">
        <v>0</v>
      </c>
      <c r="K620" s="83" t="b">
        <v>0</v>
      </c>
      <c r="L620" s="83" t="b">
        <v>0</v>
      </c>
    </row>
    <row r="621" spans="1:12" ht="15">
      <c r="A621" s="84" t="s">
        <v>1430</v>
      </c>
      <c r="B621" s="83" t="s">
        <v>1646</v>
      </c>
      <c r="C621" s="83">
        <v>2</v>
      </c>
      <c r="D621" s="110">
        <v>0.00966183574879227</v>
      </c>
      <c r="E621" s="110">
        <v>1.294466226161593</v>
      </c>
      <c r="F621" s="83" t="s">
        <v>1394</v>
      </c>
      <c r="G621" s="83" t="b">
        <v>0</v>
      </c>
      <c r="H621" s="83" t="b">
        <v>0</v>
      </c>
      <c r="I621" s="83" t="b">
        <v>0</v>
      </c>
      <c r="J621" s="83" t="b">
        <v>0</v>
      </c>
      <c r="K621" s="83" t="b">
        <v>0</v>
      </c>
      <c r="L621" s="83" t="b">
        <v>0</v>
      </c>
    </row>
    <row r="622" spans="1:12" ht="15">
      <c r="A622" s="84" t="s">
        <v>1646</v>
      </c>
      <c r="B622" s="83" t="s">
        <v>2039</v>
      </c>
      <c r="C622" s="83">
        <v>2</v>
      </c>
      <c r="D622" s="110">
        <v>0.00966183574879227</v>
      </c>
      <c r="E622" s="110">
        <v>1.8173449714419305</v>
      </c>
      <c r="F622" s="83" t="s">
        <v>1394</v>
      </c>
      <c r="G622" s="83" t="b">
        <v>0</v>
      </c>
      <c r="H622" s="83" t="b">
        <v>0</v>
      </c>
      <c r="I622" s="83" t="b">
        <v>0</v>
      </c>
      <c r="J622" s="83" t="b">
        <v>0</v>
      </c>
      <c r="K622" s="83" t="b">
        <v>0</v>
      </c>
      <c r="L622" s="83" t="b">
        <v>0</v>
      </c>
    </row>
    <row r="623" spans="1:12" ht="15">
      <c r="A623" s="84" t="s">
        <v>2039</v>
      </c>
      <c r="B623" s="83" t="s">
        <v>2040</v>
      </c>
      <c r="C623" s="83">
        <v>2</v>
      </c>
      <c r="D623" s="110">
        <v>0.00966183574879227</v>
      </c>
      <c r="E623" s="110">
        <v>1.9934362304976116</v>
      </c>
      <c r="F623" s="83" t="s">
        <v>1394</v>
      </c>
      <c r="G623" s="83" t="b">
        <v>0</v>
      </c>
      <c r="H623" s="83" t="b">
        <v>0</v>
      </c>
      <c r="I623" s="83" t="b">
        <v>0</v>
      </c>
      <c r="J623" s="83" t="b">
        <v>0</v>
      </c>
      <c r="K623" s="83" t="b">
        <v>0</v>
      </c>
      <c r="L623" s="83" t="b">
        <v>0</v>
      </c>
    </row>
    <row r="624" spans="1:12" ht="15">
      <c r="A624" s="84" t="s">
        <v>1433</v>
      </c>
      <c r="B624" s="83" t="s">
        <v>1435</v>
      </c>
      <c r="C624" s="83">
        <v>3</v>
      </c>
      <c r="D624" s="110">
        <v>0.012924696890513785</v>
      </c>
      <c r="E624" s="110">
        <v>0.7958800173440752</v>
      </c>
      <c r="F624" s="83" t="s">
        <v>1395</v>
      </c>
      <c r="G624" s="83" t="b">
        <v>0</v>
      </c>
      <c r="H624" s="83" t="b">
        <v>0</v>
      </c>
      <c r="I624" s="83" t="b">
        <v>0</v>
      </c>
      <c r="J624" s="83" t="b">
        <v>0</v>
      </c>
      <c r="K624" s="83" t="b">
        <v>0</v>
      </c>
      <c r="L624" s="83" t="b">
        <v>0</v>
      </c>
    </row>
    <row r="625" spans="1:12" ht="15">
      <c r="A625" s="84" t="s">
        <v>1463</v>
      </c>
      <c r="B625" s="83" t="s">
        <v>1547</v>
      </c>
      <c r="C625" s="83">
        <v>2</v>
      </c>
      <c r="D625" s="110">
        <v>0.020760689356136633</v>
      </c>
      <c r="E625" s="110">
        <v>1.0969100130080565</v>
      </c>
      <c r="F625" s="83" t="s">
        <v>1395</v>
      </c>
      <c r="G625" s="83" t="b">
        <v>0</v>
      </c>
      <c r="H625" s="83" t="b">
        <v>0</v>
      </c>
      <c r="I625" s="83" t="b">
        <v>0</v>
      </c>
      <c r="J625" s="83" t="b">
        <v>0</v>
      </c>
      <c r="K625" s="83" t="b">
        <v>0</v>
      </c>
      <c r="L625" s="83" t="b">
        <v>0</v>
      </c>
    </row>
    <row r="626" spans="1:12" ht="15">
      <c r="A626" s="84" t="s">
        <v>1629</v>
      </c>
      <c r="B626" s="83" t="s">
        <v>2005</v>
      </c>
      <c r="C626" s="83">
        <v>2</v>
      </c>
      <c r="D626" s="110">
        <v>0.012542916485999216</v>
      </c>
      <c r="E626" s="110">
        <v>1.3617278360175928</v>
      </c>
      <c r="F626" s="83" t="s">
        <v>1398</v>
      </c>
      <c r="G626" s="83" t="b">
        <v>0</v>
      </c>
      <c r="H626" s="83" t="b">
        <v>0</v>
      </c>
      <c r="I626" s="83" t="b">
        <v>0</v>
      </c>
      <c r="J626" s="83" t="b">
        <v>0</v>
      </c>
      <c r="K626" s="83" t="b">
        <v>0</v>
      </c>
      <c r="L626" s="83" t="b">
        <v>0</v>
      </c>
    </row>
    <row r="627" spans="1:12" ht="15">
      <c r="A627" s="84" t="s">
        <v>2005</v>
      </c>
      <c r="B627" s="83" t="s">
        <v>2006</v>
      </c>
      <c r="C627" s="83">
        <v>2</v>
      </c>
      <c r="D627" s="110">
        <v>0.012542916485999216</v>
      </c>
      <c r="E627" s="110">
        <v>1.3617278360175928</v>
      </c>
      <c r="F627" s="83" t="s">
        <v>1398</v>
      </c>
      <c r="G627" s="83" t="b">
        <v>0</v>
      </c>
      <c r="H627" s="83" t="b">
        <v>0</v>
      </c>
      <c r="I627" s="83" t="b">
        <v>0</v>
      </c>
      <c r="J627" s="83" t="b">
        <v>0</v>
      </c>
      <c r="K627" s="83" t="b">
        <v>0</v>
      </c>
      <c r="L627" s="83" t="b">
        <v>0</v>
      </c>
    </row>
    <row r="628" spans="1:12" ht="15">
      <c r="A628" s="84" t="s">
        <v>2006</v>
      </c>
      <c r="B628" s="83" t="s">
        <v>2007</v>
      </c>
      <c r="C628" s="83">
        <v>2</v>
      </c>
      <c r="D628" s="110">
        <v>0.012542916485999216</v>
      </c>
      <c r="E628" s="110">
        <v>1.3617278360175928</v>
      </c>
      <c r="F628" s="83" t="s">
        <v>1398</v>
      </c>
      <c r="G628" s="83" t="b">
        <v>0</v>
      </c>
      <c r="H628" s="83" t="b">
        <v>0</v>
      </c>
      <c r="I628" s="83" t="b">
        <v>0</v>
      </c>
      <c r="J628" s="83" t="b">
        <v>0</v>
      </c>
      <c r="K628" s="83" t="b">
        <v>0</v>
      </c>
      <c r="L628" s="83" t="b">
        <v>0</v>
      </c>
    </row>
    <row r="629" spans="1:12" ht="15">
      <c r="A629" s="84" t="s">
        <v>2007</v>
      </c>
      <c r="B629" s="83" t="s">
        <v>2008</v>
      </c>
      <c r="C629" s="83">
        <v>2</v>
      </c>
      <c r="D629" s="110">
        <v>0.012542916485999216</v>
      </c>
      <c r="E629" s="110">
        <v>1.3617278360175928</v>
      </c>
      <c r="F629" s="83" t="s">
        <v>1398</v>
      </c>
      <c r="G629" s="83" t="b">
        <v>0</v>
      </c>
      <c r="H629" s="83" t="b">
        <v>0</v>
      </c>
      <c r="I629" s="83" t="b">
        <v>0</v>
      </c>
      <c r="J629" s="83" t="b">
        <v>0</v>
      </c>
      <c r="K629" s="83" t="b">
        <v>0</v>
      </c>
      <c r="L629" s="83" t="b">
        <v>0</v>
      </c>
    </row>
    <row r="630" spans="1:12" ht="15">
      <c r="A630" s="84" t="s">
        <v>2008</v>
      </c>
      <c r="B630" s="83" t="s">
        <v>2009</v>
      </c>
      <c r="C630" s="83">
        <v>2</v>
      </c>
      <c r="D630" s="110">
        <v>0.012542916485999216</v>
      </c>
      <c r="E630" s="110">
        <v>1.3617278360175928</v>
      </c>
      <c r="F630" s="83" t="s">
        <v>1398</v>
      </c>
      <c r="G630" s="83" t="b">
        <v>0</v>
      </c>
      <c r="H630" s="83" t="b">
        <v>0</v>
      </c>
      <c r="I630" s="83" t="b">
        <v>0</v>
      </c>
      <c r="J630" s="83" t="b">
        <v>0</v>
      </c>
      <c r="K630" s="83" t="b">
        <v>0</v>
      </c>
      <c r="L630" s="83" t="b">
        <v>0</v>
      </c>
    </row>
    <row r="631" spans="1:12" ht="15">
      <c r="A631" s="84" t="s">
        <v>2009</v>
      </c>
      <c r="B631" s="83" t="s">
        <v>2010</v>
      </c>
      <c r="C631" s="83">
        <v>2</v>
      </c>
      <c r="D631" s="110">
        <v>0.012542916485999216</v>
      </c>
      <c r="E631" s="110">
        <v>1.3617278360175928</v>
      </c>
      <c r="F631" s="83" t="s">
        <v>1398</v>
      </c>
      <c r="G631" s="83" t="b">
        <v>0</v>
      </c>
      <c r="H631" s="83" t="b">
        <v>0</v>
      </c>
      <c r="I631" s="83" t="b">
        <v>0</v>
      </c>
      <c r="J631" s="83" t="b">
        <v>0</v>
      </c>
      <c r="K631" s="83" t="b">
        <v>0</v>
      </c>
      <c r="L631" s="83" t="b">
        <v>0</v>
      </c>
    </row>
    <row r="632" spans="1:12" ht="15">
      <c r="A632" s="84" t="s">
        <v>2010</v>
      </c>
      <c r="B632" s="83" t="s">
        <v>2011</v>
      </c>
      <c r="C632" s="83">
        <v>2</v>
      </c>
      <c r="D632" s="110">
        <v>0.012542916485999216</v>
      </c>
      <c r="E632" s="110">
        <v>1.3617278360175928</v>
      </c>
      <c r="F632" s="83" t="s">
        <v>1398</v>
      </c>
      <c r="G632" s="83" t="b">
        <v>0</v>
      </c>
      <c r="H632" s="83" t="b">
        <v>0</v>
      </c>
      <c r="I632" s="83" t="b">
        <v>0</v>
      </c>
      <c r="J632" s="83" t="b">
        <v>0</v>
      </c>
      <c r="K632" s="83" t="b">
        <v>0</v>
      </c>
      <c r="L632" s="83" t="b">
        <v>0</v>
      </c>
    </row>
    <row r="633" spans="1:12" ht="15">
      <c r="A633" s="84" t="s">
        <v>2011</v>
      </c>
      <c r="B633" s="83" t="s">
        <v>2012</v>
      </c>
      <c r="C633" s="83">
        <v>2</v>
      </c>
      <c r="D633" s="110">
        <v>0.012542916485999216</v>
      </c>
      <c r="E633" s="110">
        <v>1.3617278360175928</v>
      </c>
      <c r="F633" s="83" t="s">
        <v>1398</v>
      </c>
      <c r="G633" s="83" t="b">
        <v>0</v>
      </c>
      <c r="H633" s="83" t="b">
        <v>0</v>
      </c>
      <c r="I633" s="83" t="b">
        <v>0</v>
      </c>
      <c r="J633" s="83" t="b">
        <v>0</v>
      </c>
      <c r="K633" s="83" t="b">
        <v>0</v>
      </c>
      <c r="L633" s="83" t="b">
        <v>0</v>
      </c>
    </row>
    <row r="634" spans="1:12" ht="15">
      <c r="A634" s="84" t="s">
        <v>2012</v>
      </c>
      <c r="B634" s="83" t="s">
        <v>2013</v>
      </c>
      <c r="C634" s="83">
        <v>2</v>
      </c>
      <c r="D634" s="110">
        <v>0.012542916485999216</v>
      </c>
      <c r="E634" s="110">
        <v>1.3617278360175928</v>
      </c>
      <c r="F634" s="83" t="s">
        <v>1398</v>
      </c>
      <c r="G634" s="83" t="b">
        <v>0</v>
      </c>
      <c r="H634" s="83" t="b">
        <v>0</v>
      </c>
      <c r="I634" s="83" t="b">
        <v>0</v>
      </c>
      <c r="J634" s="83" t="b">
        <v>0</v>
      </c>
      <c r="K634" s="83" t="b">
        <v>0</v>
      </c>
      <c r="L634" s="83" t="b">
        <v>0</v>
      </c>
    </row>
    <row r="635" spans="1:12" ht="15">
      <c r="A635" s="84" t="s">
        <v>2013</v>
      </c>
      <c r="B635" s="83" t="s">
        <v>2014</v>
      </c>
      <c r="C635" s="83">
        <v>2</v>
      </c>
      <c r="D635" s="110">
        <v>0.012542916485999216</v>
      </c>
      <c r="E635" s="110">
        <v>1.3617278360175928</v>
      </c>
      <c r="F635" s="83" t="s">
        <v>1398</v>
      </c>
      <c r="G635" s="83" t="b">
        <v>0</v>
      </c>
      <c r="H635" s="83" t="b">
        <v>0</v>
      </c>
      <c r="I635" s="83" t="b">
        <v>0</v>
      </c>
      <c r="J635" s="83" t="b">
        <v>0</v>
      </c>
      <c r="K635" s="83" t="b">
        <v>0</v>
      </c>
      <c r="L635" s="83" t="b">
        <v>0</v>
      </c>
    </row>
    <row r="636" spans="1:12" ht="15">
      <c r="A636" s="84" t="s">
        <v>2014</v>
      </c>
      <c r="B636" s="83" t="s">
        <v>2015</v>
      </c>
      <c r="C636" s="83">
        <v>2</v>
      </c>
      <c r="D636" s="110">
        <v>0.012542916485999216</v>
      </c>
      <c r="E636" s="110">
        <v>1.3617278360175928</v>
      </c>
      <c r="F636" s="83" t="s">
        <v>1398</v>
      </c>
      <c r="G636" s="83" t="b">
        <v>0</v>
      </c>
      <c r="H636" s="83" t="b">
        <v>0</v>
      </c>
      <c r="I636" s="83" t="b">
        <v>0</v>
      </c>
      <c r="J636" s="83" t="b">
        <v>0</v>
      </c>
      <c r="K636" s="83" t="b">
        <v>0</v>
      </c>
      <c r="L636" s="83" t="b">
        <v>0</v>
      </c>
    </row>
    <row r="637" spans="1:12" ht="15">
      <c r="A637" s="84" t="s">
        <v>2015</v>
      </c>
      <c r="B637" s="83" t="s">
        <v>2016</v>
      </c>
      <c r="C637" s="83">
        <v>2</v>
      </c>
      <c r="D637" s="110">
        <v>0.012542916485999216</v>
      </c>
      <c r="E637" s="110">
        <v>1.3617278360175928</v>
      </c>
      <c r="F637" s="83" t="s">
        <v>1398</v>
      </c>
      <c r="G637" s="83" t="b">
        <v>0</v>
      </c>
      <c r="H637" s="83" t="b">
        <v>0</v>
      </c>
      <c r="I637" s="83" t="b">
        <v>0</v>
      </c>
      <c r="J637" s="83" t="b">
        <v>0</v>
      </c>
      <c r="K637" s="83" t="b">
        <v>0</v>
      </c>
      <c r="L637" s="83" t="b">
        <v>0</v>
      </c>
    </row>
    <row r="638" spans="1:12" ht="15">
      <c r="A638" s="84" t="s">
        <v>1430</v>
      </c>
      <c r="B638" s="83" t="s">
        <v>1487</v>
      </c>
      <c r="C638" s="83">
        <v>3</v>
      </c>
      <c r="D638" s="110">
        <v>0.0265614702056454</v>
      </c>
      <c r="E638" s="110">
        <v>1.0280287236002434</v>
      </c>
      <c r="F638" s="83" t="s">
        <v>1399</v>
      </c>
      <c r="G638" s="83" t="b">
        <v>0</v>
      </c>
      <c r="H638" s="83" t="b">
        <v>0</v>
      </c>
      <c r="I638" s="83" t="b">
        <v>0</v>
      </c>
      <c r="J638" s="83" t="b">
        <v>0</v>
      </c>
      <c r="K638" s="83" t="b">
        <v>0</v>
      </c>
      <c r="L638" s="83" t="b">
        <v>0</v>
      </c>
    </row>
    <row r="639" spans="1:12" ht="15">
      <c r="A639" s="84" t="s">
        <v>2031</v>
      </c>
      <c r="B639" s="83" t="s">
        <v>1428</v>
      </c>
      <c r="C639" s="83">
        <v>2</v>
      </c>
      <c r="D639" s="110">
        <v>0.0177076468037636</v>
      </c>
      <c r="E639" s="110">
        <v>1.2041199826559248</v>
      </c>
      <c r="F639" s="83" t="s">
        <v>1399</v>
      </c>
      <c r="G639" s="83" t="b">
        <v>0</v>
      </c>
      <c r="H639" s="83" t="b">
        <v>0</v>
      </c>
      <c r="I639" s="83" t="b">
        <v>0</v>
      </c>
      <c r="J639" s="83" t="b">
        <v>0</v>
      </c>
      <c r="K639" s="83" t="b">
        <v>0</v>
      </c>
      <c r="L639" s="83" t="b">
        <v>0</v>
      </c>
    </row>
    <row r="640" spans="1:12" ht="15">
      <c r="A640" s="84" t="s">
        <v>1428</v>
      </c>
      <c r="B640" s="83" t="s">
        <v>1757</v>
      </c>
      <c r="C640" s="83">
        <v>2</v>
      </c>
      <c r="D640" s="110">
        <v>0.0177076468037636</v>
      </c>
      <c r="E640" s="110">
        <v>1.0280287236002434</v>
      </c>
      <c r="F640" s="83" t="s">
        <v>1399</v>
      </c>
      <c r="G640" s="83" t="b">
        <v>0</v>
      </c>
      <c r="H640" s="83" t="b">
        <v>0</v>
      </c>
      <c r="I640" s="83" t="b">
        <v>0</v>
      </c>
      <c r="J640" s="83" t="b">
        <v>0</v>
      </c>
      <c r="K640" s="83" t="b">
        <v>0</v>
      </c>
      <c r="L640" s="83" t="b">
        <v>0</v>
      </c>
    </row>
    <row r="641" spans="1:12" ht="15">
      <c r="A641" s="84" t="s">
        <v>1757</v>
      </c>
      <c r="B641" s="83" t="s">
        <v>1430</v>
      </c>
      <c r="C641" s="83">
        <v>2</v>
      </c>
      <c r="D641" s="110">
        <v>0.0177076468037636</v>
      </c>
      <c r="E641" s="110">
        <v>1.0280287236002434</v>
      </c>
      <c r="F641" s="83" t="s">
        <v>1399</v>
      </c>
      <c r="G641" s="83" t="b">
        <v>0</v>
      </c>
      <c r="H641" s="83" t="b">
        <v>0</v>
      </c>
      <c r="I641" s="83" t="b">
        <v>0</v>
      </c>
      <c r="J641" s="83" t="b">
        <v>0</v>
      </c>
      <c r="K641" s="83" t="b">
        <v>0</v>
      </c>
      <c r="L641" s="83" t="b">
        <v>0</v>
      </c>
    </row>
    <row r="642" spans="1:12" ht="15">
      <c r="A642" s="84" t="s">
        <v>1487</v>
      </c>
      <c r="B642" s="83" t="s">
        <v>1451</v>
      </c>
      <c r="C642" s="83">
        <v>2</v>
      </c>
      <c r="D642" s="110">
        <v>0.0177076468037636</v>
      </c>
      <c r="E642" s="110">
        <v>1.0280287236002434</v>
      </c>
      <c r="F642" s="83" t="s">
        <v>1399</v>
      </c>
      <c r="G642" s="83" t="b">
        <v>0</v>
      </c>
      <c r="H642" s="83" t="b">
        <v>0</v>
      </c>
      <c r="I642" s="83" t="b">
        <v>0</v>
      </c>
      <c r="J642" s="83" t="b">
        <v>0</v>
      </c>
      <c r="K642" s="83" t="b">
        <v>0</v>
      </c>
      <c r="L642" s="83" t="b">
        <v>0</v>
      </c>
    </row>
    <row r="643" spans="1:12" ht="15">
      <c r="A643" s="84" t="s">
        <v>1451</v>
      </c>
      <c r="B643" s="83" t="s">
        <v>1733</v>
      </c>
      <c r="C643" s="83">
        <v>2</v>
      </c>
      <c r="D643" s="110">
        <v>0.0177076468037636</v>
      </c>
      <c r="E643" s="110">
        <v>1.2041199826559248</v>
      </c>
      <c r="F643" s="83" t="s">
        <v>1399</v>
      </c>
      <c r="G643" s="83" t="b">
        <v>0</v>
      </c>
      <c r="H643" s="83" t="b">
        <v>0</v>
      </c>
      <c r="I643" s="83" t="b">
        <v>0</v>
      </c>
      <c r="J643" s="83" t="b">
        <v>0</v>
      </c>
      <c r="K643" s="83" t="b">
        <v>0</v>
      </c>
      <c r="L64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2022-06-29T15:28:44Z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